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D:\00_Template_Emission Forecast Mitigation\"/>
    </mc:Choice>
  </mc:AlternateContent>
  <xr:revisionPtr revIDLastSave="0" documentId="13_ncr:1_{C6565E59-B838-4342-BDAF-BBE79B542A9F}" xr6:coauthVersionLast="36" xr6:coauthVersionMax="47" xr10:uidLastSave="{00000000-0000-0000-0000-000000000000}"/>
  <bookViews>
    <workbookView xWindow="0" yWindow="0" windowWidth="23040" windowHeight="9684" tabRatio="945" activeTab="2" xr2:uid="{00000000-000D-0000-FFFF-FFFF00000000}"/>
  </bookViews>
  <sheets>
    <sheet name="City information" sheetId="154" r:id="rId1"/>
    <sheet name="GPC" sheetId="67" r:id="rId2"/>
    <sheet name="Overview Result" sheetId="128" r:id="rId3"/>
    <sheet name="Summary Result" sheetId="161" r:id="rId4"/>
    <sheet name="Energy_Input DATA" sheetId="101" r:id="rId5"/>
    <sheet name="Transportation_Input DATA" sheetId="109" r:id="rId6"/>
    <sheet name="Waste_Input DATA " sheetId="164" r:id="rId7"/>
    <sheet name="I.Stationary Energy" sheetId="100" r:id="rId8"/>
    <sheet name="II.Transportation" sheetId="104" r:id="rId9"/>
    <sheet name="II.Aviation" sheetId="165" r:id="rId10"/>
    <sheet name="III.1 Landfill" sheetId="149" r:id="rId11"/>
    <sheet name="III.3 Burnning" sheetId="150" r:id="rId12"/>
    <sheet name="III.2 Bio Tretment" sheetId="132" r:id="rId13"/>
    <sheet name="III.4 Wastewater" sheetId="151" r:id="rId14"/>
    <sheet name="IV. IPPU_IP" sheetId="163" r:id="rId15"/>
    <sheet name="IV. IPPU_PU" sheetId="162" r:id="rId16"/>
    <sheet name="V.1 Livestock" sheetId="97" r:id="rId17"/>
    <sheet name="V.2 Land use_FL" sheetId="158" r:id="rId18"/>
    <sheet name="V.2 Land use_CL" sheetId="159" r:id="rId19"/>
    <sheet name="V.3 Rice cultivation" sheetId="155" r:id="rId20"/>
    <sheet name="V.3 Biomass Burning" sheetId="111" r:id="rId21"/>
    <sheet name="V.3 Liming" sheetId="166" r:id="rId22"/>
    <sheet name="V.3 Urea" sheetId="167" r:id="rId23"/>
    <sheet name="V.3 Managed Soils" sheetId="168" r:id="rId24"/>
    <sheet name="EF_Stationary" sheetId="68" r:id="rId25"/>
    <sheet name="EF_Transportation" sheetId="120" r:id="rId26"/>
    <sheet name="EF_Waste" sheetId="153" r:id="rId27"/>
    <sheet name="EF_Livestock" sheetId="71" r:id="rId28"/>
    <sheet name="Conversion factor" sheetId="99"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CH4" localSheetId="0">[1]Lists!#REF!</definedName>
    <definedName name="_CH4" localSheetId="26">[1]Lists!#REF!</definedName>
    <definedName name="_CH4" localSheetId="8">[2]Lists!#REF!</definedName>
    <definedName name="_CH4" localSheetId="10">[1]Lists!#REF!</definedName>
    <definedName name="_CH4" localSheetId="5">[2]Lists!#REF!</definedName>
    <definedName name="_CH4" localSheetId="19">[1]Lists!#REF!</definedName>
    <definedName name="_CH4" localSheetId="6">[2]Lists!#REF!</definedName>
    <definedName name="_CH4">[1]Lists!#REF!</definedName>
    <definedName name="_xlnm._FilterDatabase" localSheetId="7" hidden="1">'I.Stationary Energy'!$C$1:$C$89</definedName>
    <definedName name="_xlnm._FilterDatabase" localSheetId="14" hidden="1">'IV. IPPU_IP'!#REF!</definedName>
    <definedName name="_xlnm._FilterDatabase" localSheetId="5" hidden="1">'Transportation_Input DATA'!$G$1:$G$88</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ccountability" localSheetId="0">[3]Dropdown!$Y$2:$Y$3</definedName>
    <definedName name="Accountability" localSheetId="26">[4]Dropdown!$Y$2:$Y$3</definedName>
    <definedName name="Accountability" localSheetId="10">[4]Dropdown!$Y$2:$Y$3</definedName>
    <definedName name="Accountability" localSheetId="11">[4]Dropdown!$Y$2:$Y$3</definedName>
    <definedName name="Accountability" localSheetId="13">[4]Dropdown!$Y$2:$Y$3</definedName>
    <definedName name="Accountability" localSheetId="19">[4]Dropdown!$Y$2:$Y$3</definedName>
    <definedName name="Accountability">[4]Dropdown!$Y$2:$Y$3</definedName>
    <definedName name="AFOLU" localSheetId="0">[1]Lists!#REF!</definedName>
    <definedName name="AFOLU" localSheetId="26">[1]Lists!#REF!</definedName>
    <definedName name="AFOLU" localSheetId="8">[2]Lists!#REF!</definedName>
    <definedName name="AFOLU" localSheetId="10">[1]Lists!#REF!</definedName>
    <definedName name="AFOLU" localSheetId="5">[2]Lists!#REF!</definedName>
    <definedName name="AFOLU" localSheetId="19">[1]Lists!#REF!</definedName>
    <definedName name="AFOLU" localSheetId="6">[2]Lists!#REF!</definedName>
    <definedName name="AFOLU">[1]Lists!#REF!</definedName>
    <definedName name="AFOLU_Livestock" localSheetId="0">[5]Lists!$AT$3:$AT$15</definedName>
    <definedName name="AFOLU_Livestock" localSheetId="26">[1]Lists!$AT$3:$AT$15</definedName>
    <definedName name="AFOLU_Livestock" localSheetId="10">[1]Lists!$AT$3:$AT$15</definedName>
    <definedName name="AFOLU_Livestock" localSheetId="11">[1]Lists!$AT$3:$AT$15</definedName>
    <definedName name="AFOLU_Livestock" localSheetId="13">[1]Lists!$AT$3:$AT$15</definedName>
    <definedName name="AFOLU_Livestock" localSheetId="19">[1]Lists!$AT$3:$AT$15</definedName>
    <definedName name="AFOLU_Livestock">[2]Lists!$AT$3:$AT$15</definedName>
    <definedName name="Aggregate" localSheetId="0">[5]Lists!$AX$3:$AX$23</definedName>
    <definedName name="Aggregate" localSheetId="26">[1]Lists!$AX$3:$AX$23</definedName>
    <definedName name="Aggregate" localSheetId="10">[1]Lists!$AX$3:$AX$23</definedName>
    <definedName name="Aggregate" localSheetId="11">[1]Lists!$AX$3:$AX$23</definedName>
    <definedName name="Aggregate" localSheetId="13">[1]Lists!$AX$3:$AX$23</definedName>
    <definedName name="Aggregate" localSheetId="19">[1]Lists!$AX$3:$AX$23</definedName>
    <definedName name="Aggregate">[2]Lists!$AX$3:$AX$23</definedName>
    <definedName name="Aggregate_sources" localSheetId="0">[1]Lists!#REF!</definedName>
    <definedName name="Aggregate_sources" localSheetId="26">[1]Lists!#REF!</definedName>
    <definedName name="Aggregate_sources" localSheetId="8">[2]Lists!#REF!</definedName>
    <definedName name="Aggregate_sources" localSheetId="10">[1]Lists!#REF!</definedName>
    <definedName name="Aggregate_sources" localSheetId="5">[2]Lists!#REF!</definedName>
    <definedName name="Aggregate_sources" localSheetId="19">[1]Lists!#REF!</definedName>
    <definedName name="Aggregate_sources" localSheetId="6">[2]Lists!#REF!</definedName>
    <definedName name="Aggregate_sources">[1]Lists!#REF!</definedName>
    <definedName name="Air" localSheetId="0">[5]Lists!$AD$3:$AD$15</definedName>
    <definedName name="Air" localSheetId="26">[1]Lists!$AD$3:$AD$15</definedName>
    <definedName name="Air" localSheetId="10">[1]Lists!$AD$3:$AD$15</definedName>
    <definedName name="Air" localSheetId="11">[1]Lists!$AD$3:$AD$15</definedName>
    <definedName name="Air" localSheetId="13">[1]Lists!$AD$3:$AD$15</definedName>
    <definedName name="Air" localSheetId="19">[1]Lists!$AD$3:$AD$15</definedName>
    <definedName name="Air">[2]Lists!$AD$3:$AD$15</definedName>
    <definedName name="AmountYear" localSheetId="0">[3]Dropdown!$AC$2:$AC$12</definedName>
    <definedName name="AmountYear" localSheetId="26">[4]Dropdown!$AC$2:$AC$12</definedName>
    <definedName name="AmountYear" localSheetId="10">[4]Dropdown!$AC$2:$AC$12</definedName>
    <definedName name="AmountYear" localSheetId="11">[4]Dropdown!$AC$2:$AC$12</definedName>
    <definedName name="AmountYear" localSheetId="13">[4]Dropdown!$AC$2:$AC$12</definedName>
    <definedName name="AmountYear" localSheetId="19">[4]Dropdown!$AC$2:$AC$12</definedName>
    <definedName name="AmountYear">[4]Dropdown!$AC$2:$AC$12</definedName>
    <definedName name="Area" localSheetId="0">[3]Info!$F$9</definedName>
    <definedName name="Area" localSheetId="26">[4]Info!$F$9</definedName>
    <definedName name="Area" localSheetId="10">[4]Info!$F$9</definedName>
    <definedName name="Area" localSheetId="11">[4]Info!$F$9</definedName>
    <definedName name="Area" localSheetId="13">[4]Info!$F$9</definedName>
    <definedName name="Area" localSheetId="19">[4]Info!$F$9</definedName>
    <definedName name="Area">[4]Info!$F$9</definedName>
    <definedName name="aricuture" localSheetId="0">[6]EF_Stationary!#REF!</definedName>
    <definedName name="aricuture" localSheetId="27">EF_Stationary!#REF!</definedName>
    <definedName name="aricuture" localSheetId="26">[7]EF_Stationary!#REF!</definedName>
    <definedName name="aricuture" localSheetId="8">EF_Stationary!#REF!</definedName>
    <definedName name="aricuture" localSheetId="10">[8]EF_Stationary!#REF!</definedName>
    <definedName name="aricuture" localSheetId="5">EF_Stationary!#REF!</definedName>
    <definedName name="aricuture" localSheetId="19">[9]EF_Stationary!#REF!</definedName>
    <definedName name="aricuture" localSheetId="6">EF_Stationary!#REF!</definedName>
    <definedName name="aricuture">[10]EF_Stationary!#REF!</definedName>
    <definedName name="Audit" localSheetId="0">[5]Lists!$G$3:$G$7</definedName>
    <definedName name="Audit" localSheetId="26">[1]Lists!$G$3:$G$7</definedName>
    <definedName name="Audit" localSheetId="10">[1]Lists!$G$3:$G$7</definedName>
    <definedName name="Audit" localSheetId="11">[1]Lists!$G$3:$G$7</definedName>
    <definedName name="Audit" localSheetId="13">[1]Lists!$G$3:$G$7</definedName>
    <definedName name="Audit" localSheetId="19">[1]Lists!$G$3:$G$7</definedName>
    <definedName name="Audit">[2]Lists!$G$3:$G$7</definedName>
    <definedName name="B5_Industry" localSheetId="0">[3]ค่าใช้จ่ายพลังงานอุตสาหกรรม_AVG!$S$142:$S$204</definedName>
    <definedName name="B5_Industry" localSheetId="26">[4]ค่าใช้จ่ายพลังงานอุตสาหกรรม_AVG!$S$142:$S$204</definedName>
    <definedName name="B5_Industry" localSheetId="10">[4]ค่าใช้จ่ายพลังงานอุตสาหกรรม_AVG!$S$142:$S$204</definedName>
    <definedName name="B5_Industry" localSheetId="11">[4]ค่าใช้จ่ายพลังงานอุตสาหกรรม_AVG!$S$142:$S$204</definedName>
    <definedName name="B5_Industry" localSheetId="13">[4]ค่าใช้จ่ายพลังงานอุตสาหกรรม_AVG!$S$142:$S$204</definedName>
    <definedName name="B5_Industry" localSheetId="19">[4]ค่าใช้จ่ายพลังงานอุตสาหกรรม_AVG!$S$142:$S$204</definedName>
    <definedName name="B5_Industry">[4]ค่าใช้จ่ายพลังงานอุตสาหกรรม_AVG!$S$142:$S$204</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n91_Industry" localSheetId="0">[3]ค่าใช้จ่ายพลังงานอุตสาหกรรม_AVG!$K$142:$K$204</definedName>
    <definedName name="Ben91_Industry" localSheetId="26">[4]ค่าใช้จ่ายพลังงานอุตสาหกรรม_AVG!$K$142:$K$204</definedName>
    <definedName name="Ben91_Industry" localSheetId="10">[4]ค่าใช้จ่ายพลังงานอุตสาหกรรม_AVG!$K$142:$K$204</definedName>
    <definedName name="Ben91_Industry" localSheetId="11">[4]ค่าใช้จ่ายพลังงานอุตสาหกรรม_AVG!$K$142:$K$204</definedName>
    <definedName name="Ben91_Industry" localSheetId="13">[4]ค่าใช้จ่ายพลังงานอุตสาหกรรม_AVG!$K$142:$K$204</definedName>
    <definedName name="Ben91_Industry" localSheetId="19">[4]ค่าใช้จ่ายพลังงานอุตสาหกรรม_AVG!$K$142:$K$204</definedName>
    <definedName name="Ben91_Industry">[4]ค่าใช้จ่ายพลังงานอุตสาหกรรม_AVG!$K$142:$K$204</definedName>
    <definedName name="Ben95_Industry" localSheetId="0">[3]ค่าใช้จ่ายพลังงานอุตสาหกรรม_AVG!$L$142:$L$204</definedName>
    <definedName name="Ben95_Industry" localSheetId="26">[4]ค่าใช้จ่ายพลังงานอุตสาหกรรม_AVG!$L$142:$L$204</definedName>
    <definedName name="Ben95_Industry" localSheetId="10">[4]ค่าใช้จ่ายพลังงานอุตสาหกรรม_AVG!$L$142:$L$204</definedName>
    <definedName name="Ben95_Industry" localSheetId="11">[4]ค่าใช้จ่ายพลังงานอุตสาหกรรม_AVG!$L$142:$L$204</definedName>
    <definedName name="Ben95_Industry" localSheetId="13">[4]ค่าใช้จ่ายพลังงานอุตสาหกรรม_AVG!$L$142:$L$204</definedName>
    <definedName name="Ben95_Industry" localSheetId="19">[4]ค่าใช้จ่ายพลังงานอุตสาหกรรม_AVG!$L$142:$L$204</definedName>
    <definedName name="Ben95_Industry">[4]ค่าใช้จ่ายพลังงานอุตสาหกรรม_AVG!$L$142:$L$204</definedName>
    <definedName name="Biological_Treatment" localSheetId="0">[5]Lists!$AH$3:$AH$8</definedName>
    <definedName name="Biological_Treatment" localSheetId="26">[1]Lists!$AH$3:$AH$8</definedName>
    <definedName name="Biological_Treatment" localSheetId="10">[1]Lists!$AH$3:$AH$8</definedName>
    <definedName name="Biological_Treatment" localSheetId="11">[1]Lists!$AH$3:$AH$8</definedName>
    <definedName name="Biological_Treatment" localSheetId="13">[1]Lists!$AH$3:$AH$8</definedName>
    <definedName name="Biological_Treatment" localSheetId="19">[1]Lists!$AH$3:$AH$8</definedName>
    <definedName name="Biological_Treatment">[2]Lists!$AH$3:$AH$8</definedName>
    <definedName name="Boundary" localSheetId="0">[5]Lists!$A$3:$A$8</definedName>
    <definedName name="Boundary" localSheetId="26">[1]Lists!$A$3:$A$8</definedName>
    <definedName name="Boundary" localSheetId="10">[1]Lists!$A$3:$A$8</definedName>
    <definedName name="Boundary" localSheetId="11">[1]Lists!$A$3:$A$8</definedName>
    <definedName name="Boundary" localSheetId="13">[1]Lists!$A$3:$A$8</definedName>
    <definedName name="Boundary" localSheetId="19">[1]Lists!$A$3:$A$8</definedName>
    <definedName name="Boundary">[2]Lists!$A$3:$A$8</definedName>
    <definedName name="BP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usiness_Energy_Consump" localSheetId="0">[11]Business_Energy_Consumption!$A$5:$I$76</definedName>
    <definedName name="Business_Energy_Consump" localSheetId="26">[12]Business_Energy_Consumption!$A$5:$I$76</definedName>
    <definedName name="Business_Energy_Consump" localSheetId="10">[12]Business_Energy_Consumption!$A$5:$I$76</definedName>
    <definedName name="Business_Energy_Consump" localSheetId="11">[12]Business_Energy_Consumption!$A$5:$I$76</definedName>
    <definedName name="Business_Energy_Consump" localSheetId="13">[12]Business_Energy_Consumption!$A$5:$I$76</definedName>
    <definedName name="Business_Energy_Consump" localSheetId="19">[12]Business_Energy_Consumption!$A$5:$I$76</definedName>
    <definedName name="Business_Energy_Consump">[12]Business_Energy_Consumption!$A$5:$I$76</definedName>
    <definedName name="Climate" localSheetId="0">[5]Lists!$C$3:$C$24</definedName>
    <definedName name="Climate" localSheetId="26">[1]Lists!$C$3:$C$24</definedName>
    <definedName name="Climate" localSheetId="10">[1]Lists!$C$3:$C$24</definedName>
    <definedName name="Climate" localSheetId="11">[1]Lists!$C$3:$C$24</definedName>
    <definedName name="Climate" localSheetId="13">[1]Lists!$C$3:$C$24</definedName>
    <definedName name="Climate" localSheetId="19">[1]Lists!$C$3:$C$24</definedName>
    <definedName name="Climate">[2]Lists!$C$3:$C$24</definedName>
    <definedName name="CoalOil_Industry" localSheetId="0">[3]ค่าใช้จ่ายพลังงานอุตสาหกรรม_AVG!$P$142:$P$204</definedName>
    <definedName name="CoalOil_Industry" localSheetId="26">[4]ค่าใช้จ่ายพลังงานอุตสาหกรรม_AVG!$P$142:$P$204</definedName>
    <definedName name="CoalOil_Industry" localSheetId="10">[4]ค่าใช้จ่ายพลังงานอุตสาหกรรม_AVG!$P$142:$P$204</definedName>
    <definedName name="CoalOil_Industry" localSheetId="11">[4]ค่าใช้จ่ายพลังงานอุตสาหกรรม_AVG!$P$142:$P$204</definedName>
    <definedName name="CoalOil_Industry" localSheetId="13">[4]ค่าใช้จ่ายพลังงานอุตสาหกรรม_AVG!$P$142:$P$204</definedName>
    <definedName name="CoalOil_Industry" localSheetId="19">[4]ค่าใช้จ่ายพลังงานอุตสาหกรรม_AVG!$P$142:$P$204</definedName>
    <definedName name="CoalOil_Industry">[4]ค่าใช้จ่ายพลังงานอุตสาหกรรม_AVG!$P$142:$P$204</definedName>
    <definedName name="Commercial" localSheetId="0">[13]CCF_05!$M$5:$M$76</definedName>
    <definedName name="Commercial" localSheetId="26">[14]CCF_05!$M$5:$M$76</definedName>
    <definedName name="Commercial" localSheetId="10">[14]CCF_05!$M$5:$M$76</definedName>
    <definedName name="Commercial" localSheetId="11">[14]CCF_05!$M$5:$M$76</definedName>
    <definedName name="Commercial" localSheetId="13">[14]CCF_05!$M$5:$M$76</definedName>
    <definedName name="Commercial" localSheetId="19">[14]CCF_05!$M$5:$M$76</definedName>
    <definedName name="Commercial">[15]CCF_05!$M$5:$M$76</definedName>
    <definedName name="conv_kg2litre" localSheetId="0">[13]การแปลงหน่วย!$E$8</definedName>
    <definedName name="conv_kg2litre" localSheetId="26">[14]การแปลงหน่วย!$E$8</definedName>
    <definedName name="conv_kg2litre" localSheetId="10">[14]การแปลงหน่วย!$E$8</definedName>
    <definedName name="conv_kg2litre" localSheetId="11">[14]การแปลงหน่วย!$E$8</definedName>
    <definedName name="conv_kg2litre" localSheetId="13">[14]การแปลงหน่วย!$E$8</definedName>
    <definedName name="conv_kg2litre" localSheetId="19">[14]การแปลงหน่วย!$E$8</definedName>
    <definedName name="conv_kg2litre">[15]การแปลงหน่วย!$E$8</definedName>
    <definedName name="conv_litre2kg" localSheetId="0">[13]การแปลงหน่วย!$E$9</definedName>
    <definedName name="conv_litre2kg" localSheetId="26">[14]การแปลงหน่วย!$E$9</definedName>
    <definedName name="conv_litre2kg" localSheetId="10">[14]การแปลงหน่วย!$E$9</definedName>
    <definedName name="conv_litre2kg" localSheetId="11">[14]การแปลงหน่วย!$E$9</definedName>
    <definedName name="conv_litre2kg" localSheetId="13">[14]การแปลงหน่วย!$E$9</definedName>
    <definedName name="conv_litre2kg" localSheetId="19">[14]การแปลงหน่วย!$E$9</definedName>
    <definedName name="conv_litre2kg">[15]การแปลงหน่วย!$E$9</definedName>
    <definedName name="conv_ncf2litre" localSheetId="0">[13]การแปลงหน่วย!$E$5</definedName>
    <definedName name="conv_ncf2litre" localSheetId="26">[14]การแปลงหน่วย!$E$5</definedName>
    <definedName name="conv_ncf2litre" localSheetId="10">[14]การแปลงหน่วย!$E$5</definedName>
    <definedName name="conv_ncf2litre" localSheetId="11">[14]การแปลงหน่วย!$E$5</definedName>
    <definedName name="conv_ncf2litre" localSheetId="13">[14]การแปลงหน่วย!$E$5</definedName>
    <definedName name="conv_ncf2litre" localSheetId="19">[14]การแปลงหน่วย!$E$5</definedName>
    <definedName name="conv_ncf2litre">[15]การแปลงหน่วย!$E$5</definedName>
    <definedName name="Conversion" localSheetId="0">[1]Lists!#REF!</definedName>
    <definedName name="Conversion" localSheetId="26">[1]Lists!#REF!</definedName>
    <definedName name="Conversion" localSheetId="8">[2]Lists!#REF!</definedName>
    <definedName name="Conversion" localSheetId="10">[1]Lists!#REF!</definedName>
    <definedName name="Conversion" localSheetId="5">[2]Lists!#REF!</definedName>
    <definedName name="Conversion" localSheetId="19">[1]Lists!#REF!</definedName>
    <definedName name="Conversion" localSheetId="6">[2]Lists!#REF!</definedName>
    <definedName name="Conversion">[1]Lists!#REF!</definedName>
    <definedName name="DataSource" localSheetId="0">'[5]Data sources'!$C$9:$C$18</definedName>
    <definedName name="DataSource" localSheetId="26">'[1]Data sources'!$C$9:$C$18</definedName>
    <definedName name="DataSource" localSheetId="10">'[1]Data sources'!$C$9:$C$18</definedName>
    <definedName name="DataSource" localSheetId="11">'[1]Data sources'!$C$9:$C$18</definedName>
    <definedName name="DataSource" localSheetId="13">'[1]Data sources'!$C$9:$C$18</definedName>
    <definedName name="DataSource" localSheetId="19">'[1]Data sources'!$C$9:$C$18</definedName>
    <definedName name="DataSource">'[2]Data sources'!$C$9:$C$18</definedName>
    <definedName name="DOC_table">[16]Defaults!$P$8:$Q$17</definedName>
    <definedName name="DQ" localSheetId="0">[5]Lists!$L$3:$L$6</definedName>
    <definedName name="DQ" localSheetId="26">[1]Lists!$L$3:$L$6</definedName>
    <definedName name="DQ" localSheetId="10">[1]Lists!$L$3:$L$6</definedName>
    <definedName name="DQ" localSheetId="11">[1]Lists!$L$3:$L$6</definedName>
    <definedName name="DQ" localSheetId="13">[1]Lists!$L$3:$L$6</definedName>
    <definedName name="DQ" localSheetId="19">[1]Lists!$L$3:$L$6</definedName>
    <definedName name="DQ">[2]Lists!$L$3:$L$6</definedName>
    <definedName name="E10_Industry" localSheetId="0">[3]ค่าใช้จ่ายพลังงานอุตสาหกรรม_AVG!$M$142:$M$204</definedName>
    <definedName name="E10_Industry" localSheetId="26">[4]ค่าใช้จ่ายพลังงานอุตสาหกรรม_AVG!$M$142:$M$204</definedName>
    <definedName name="E10_Industry" localSheetId="10">[4]ค่าใช้จ่ายพลังงานอุตสาหกรรม_AVG!$M$142:$M$204</definedName>
    <definedName name="E10_Industry" localSheetId="11">[4]ค่าใช้จ่ายพลังงานอุตสาหกรรม_AVG!$M$142:$M$204</definedName>
    <definedName name="E10_Industry" localSheetId="13">[4]ค่าใช้จ่ายพลังงานอุตสาหกรรม_AVG!$M$142:$M$204</definedName>
    <definedName name="E10_Industry" localSheetId="19">[4]ค่าใช้จ่ายพลังงานอุตสาหกรรม_AVG!$M$142:$M$204</definedName>
    <definedName name="E10_Industry">[4]ค่าใช้จ่ายพลังงานอุตสาหกรรม_AVG!$M$142:$M$204</definedName>
    <definedName name="E20_Industry" localSheetId="0">[3]ค่าใช้จ่ายพลังงานอุตสาหกรรม_AVG!$N$142:$N$204</definedName>
    <definedName name="E20_Industry" localSheetId="26">[4]ค่าใช้จ่ายพลังงานอุตสาหกรรม_AVG!$N$142:$N$204</definedName>
    <definedName name="E20_Industry" localSheetId="10">[4]ค่าใช้จ่ายพลังงานอุตสาหกรรม_AVG!$N$142:$N$204</definedName>
    <definedName name="E20_Industry" localSheetId="11">[4]ค่าใช้จ่ายพลังงานอุตสาหกรรม_AVG!$N$142:$N$204</definedName>
    <definedName name="E20_Industry" localSheetId="13">[4]ค่าใช้จ่ายพลังงานอุตสาหกรรม_AVG!$N$142:$N$204</definedName>
    <definedName name="E20_Industry" localSheetId="19">[4]ค่าใช้จ่ายพลังงานอุตสาหกรรม_AVG!$N$142:$N$204</definedName>
    <definedName name="E20_Industry">[4]ค่าใช้จ่ายพลังงานอุตสาหกรรม_AVG!$N$142:$N$204</definedName>
    <definedName name="Economy" localSheetId="0">[5]Lists!$B$3:$B$8</definedName>
    <definedName name="Economy" localSheetId="26">[1]Lists!$B$3:$B$8</definedName>
    <definedName name="Economy" localSheetId="10">[1]Lists!$B$3:$B$8</definedName>
    <definedName name="Economy" localSheetId="11">[1]Lists!$B$3:$B$8</definedName>
    <definedName name="Economy" localSheetId="13">[1]Lists!$B$3:$B$8</definedName>
    <definedName name="Economy" localSheetId="19">[1]Lists!$B$3:$B$8</definedName>
    <definedName name="Economy">[2]Lists!$B$3:$B$8</definedName>
    <definedName name="EF_Anaerobic_CH4_wet" localSheetId="0">[13]EF!$AK$7</definedName>
    <definedName name="EF_Anaerobic_CH4_wet" localSheetId="26">[14]EF!$AK$7</definedName>
    <definedName name="EF_Anaerobic_CH4_wet" localSheetId="10">[14]EF!$AK$7</definedName>
    <definedName name="EF_Anaerobic_CH4_wet" localSheetId="11">[14]EF!$AK$7</definedName>
    <definedName name="EF_Anaerobic_CH4_wet" localSheetId="13">[14]EF!$AK$7</definedName>
    <definedName name="EF_Anaerobic_CH4_wet" localSheetId="19">[14]EF!$AK$7</definedName>
    <definedName name="EF_Anaerobic_CH4_wet">[15]EF!$AK$7</definedName>
    <definedName name="EF_Composting_CH4_wet" localSheetId="0">[13]EF!$AK$6</definedName>
    <definedName name="EF_Composting_CH4_wet" localSheetId="26">[14]EF!$AK$6</definedName>
    <definedName name="EF_Composting_CH4_wet" localSheetId="10">[14]EF!$AK$6</definedName>
    <definedName name="EF_Composting_CH4_wet" localSheetId="11">[14]EF!$AK$6</definedName>
    <definedName name="EF_Composting_CH4_wet" localSheetId="13">[14]EF!$AK$6</definedName>
    <definedName name="EF_Composting_CH4_wet" localSheetId="19">[14]EF!$AK$6</definedName>
    <definedName name="EF_Composting_CH4_wet">[15]EF!$AK$6</definedName>
    <definedName name="EF_Composting_N2O_wet" localSheetId="0">[13]EF!$AM$6</definedName>
    <definedName name="EF_Composting_N2O_wet" localSheetId="26">[14]EF!$AM$6</definedName>
    <definedName name="EF_Composting_N2O_wet" localSheetId="10">[14]EF!$AM$6</definedName>
    <definedName name="EF_Composting_N2O_wet" localSheetId="11">[14]EF!$AM$6</definedName>
    <definedName name="EF_Composting_N2O_wet" localSheetId="13">[14]EF!$AM$6</definedName>
    <definedName name="EF_Composting_N2O_wet" localSheetId="19">[14]EF!$AM$6</definedName>
    <definedName name="EF_Composting_N2O_wet">[15]EF!$AM$6</definedName>
    <definedName name="EF_Mass_units" localSheetId="0">[5]Lists!$J$3:$J$11</definedName>
    <definedName name="EF_Mass_units" localSheetId="26">[1]Lists!$J$3:$J$11</definedName>
    <definedName name="EF_Mass_units" localSheetId="10">[1]Lists!$J$3:$J$11</definedName>
    <definedName name="EF_Mass_units" localSheetId="11">[1]Lists!$J$3:$J$11</definedName>
    <definedName name="EF_Mass_units" localSheetId="13">[1]Lists!$J$3:$J$11</definedName>
    <definedName name="EF_Mass_units" localSheetId="19">[1]Lists!$J$3:$J$11</definedName>
    <definedName name="EF_Mass_units">[2]Lists!$J$3:$J$11</definedName>
    <definedName name="EF_Type" localSheetId="0">[5]Lists!$I$3:$I$6</definedName>
    <definedName name="EF_Type" localSheetId="26">[1]Lists!$I$3:$I$6</definedName>
    <definedName name="EF_Type" localSheetId="10">[1]Lists!$I$3:$I$6</definedName>
    <definedName name="EF_Type" localSheetId="11">[1]Lists!$I$3:$I$6</definedName>
    <definedName name="EF_Type" localSheetId="13">[1]Lists!$I$3:$I$6</definedName>
    <definedName name="EF_Type" localSheetId="19">[1]Lists!$I$3:$I$6</definedName>
    <definedName name="EF_Type">[2]Lists!$I$3:$I$6</definedName>
    <definedName name="EF_Urea_Fertilization" localSheetId="0">[3]EF!$BK$6</definedName>
    <definedName name="EF_Urea_Fertilization" localSheetId="26">[4]EF!$BK$6</definedName>
    <definedName name="EF_Urea_Fertilization" localSheetId="10">[4]EF!$BK$6</definedName>
    <definedName name="EF_Urea_Fertilization" localSheetId="11">[4]EF!$BK$6</definedName>
    <definedName name="EF_Urea_Fertilization" localSheetId="13">[4]EF!$BK$6</definedName>
    <definedName name="EF_Urea_Fertilization" localSheetId="19">[4]EF!$BK$6</definedName>
    <definedName name="EF_Urea_Fertilization">[4]EF!$BK$6</definedName>
    <definedName name="EF_นาปีในเขตชลประทานขังน้ำและปล่อยน้ำออก1ครั้ง" localSheetId="0">[3]EF!$BA$9</definedName>
    <definedName name="EF_นาปีในเขตชลประทานขังน้ำและปล่อยน้ำออก1ครั้ง" localSheetId="26">[4]EF!$BA$9</definedName>
    <definedName name="EF_นาปีในเขตชลประทานขังน้ำและปล่อยน้ำออก1ครั้ง" localSheetId="10">[4]EF!$BA$9</definedName>
    <definedName name="EF_นาปีในเขตชลประทานขังน้ำและปล่อยน้ำออก1ครั้ง" localSheetId="11">[4]EF!$BA$9</definedName>
    <definedName name="EF_นาปีในเขตชลประทานขังน้ำและปล่อยน้ำออก1ครั้ง" localSheetId="13">[4]EF!$BA$9</definedName>
    <definedName name="EF_นาปีในเขตชลประทานขังน้ำและปล่อยน้ำออก1ครั้ง" localSheetId="19">[4]EF!$BA$9</definedName>
    <definedName name="EF_นาปีในเขตชลประทานขังน้ำและปล่อยน้ำออก1ครั้ง">[4]EF!$BA$9</definedName>
    <definedName name="EF_นาปีนอกเขตชลประทานความลึกน้ำไม่เกิน50Cm" localSheetId="0">[3]EF!$BA$11</definedName>
    <definedName name="EF_นาปีนอกเขตชลประทานความลึกน้ำไม่เกิน50Cm" localSheetId="26">[4]EF!$BA$11</definedName>
    <definedName name="EF_นาปีนอกเขตชลประทานความลึกน้ำไม่เกิน50Cm" localSheetId="10">[4]EF!$BA$11</definedName>
    <definedName name="EF_นาปีนอกเขตชลประทานความลึกน้ำไม่เกิน50Cm" localSheetId="11">[4]EF!$BA$11</definedName>
    <definedName name="EF_นาปีนอกเขตชลประทานความลึกน้ำไม่เกิน50Cm" localSheetId="13">[4]EF!$BA$11</definedName>
    <definedName name="EF_นาปีนอกเขตชลประทานความลึกน้ำไม่เกิน50Cm" localSheetId="19">[4]EF!$BA$11</definedName>
    <definedName name="EF_นาปีนอกเขตชลประทานความลึกน้ำไม่เกิน50Cm">[4]EF!$BA$11</definedName>
    <definedName name="EF_นาปีนอกเขตชลประทานความลึกน้ำมากกว่า50Cm" localSheetId="0">[3]EF!$BA$13</definedName>
    <definedName name="EF_นาปีนอกเขตชลประทานความลึกน้ำมากกว่า50Cm" localSheetId="26">[4]EF!$BA$13</definedName>
    <definedName name="EF_นาปีนอกเขตชลประทานความลึกน้ำมากกว่า50Cm" localSheetId="10">[4]EF!$BA$13</definedName>
    <definedName name="EF_นาปีนอกเขตชลประทานความลึกน้ำมากกว่า50Cm" localSheetId="11">[4]EF!$BA$13</definedName>
    <definedName name="EF_นาปีนอกเขตชลประทานความลึกน้ำมากกว่า50Cm" localSheetId="13">[4]EF!$BA$13</definedName>
    <definedName name="EF_นาปีนอกเขตชลประทานความลึกน้ำมากกว่า50Cm" localSheetId="19">[4]EF!$BA$13</definedName>
    <definedName name="EF_นาปีนอกเขตชลประทานความลึกน้ำมากกว่า50Cm">[4]EF!$BA$13</definedName>
    <definedName name="EI" localSheetId="0" hidden="1">{#N/A,#N/A,FALSE,"Explanatory notes";#N/A,#N/A,FALSE,"Table 1A 1999";#N/A,#N/A,FALSE,"Table 2A 1999";#N/A,#N/A,FALSE,"Table 3A 1999";#N/A,#N/A,FALSE,"Table 4A 1999";#N/A,#N/A,FALSE,"Table 5A 1999";#N/A,#N/A,FALSE,"Table 6A 1999";#N/A,#N/A,FALSE,"Table 7A 1999";#N/A,#N/A,FALSE,"Table 8A 1999";#N/A,#N/A,FALSE,"Remarks"}</definedName>
    <definedName name="EI" localSheetId="26" hidden="1">{#N/A,#N/A,FALSE,"Explanatory notes";#N/A,#N/A,FALSE,"Table 1A 1999";#N/A,#N/A,FALSE,"Table 2A 1999";#N/A,#N/A,FALSE,"Table 3A 1999";#N/A,#N/A,FALSE,"Table 4A 1999";#N/A,#N/A,FALSE,"Table 5A 1999";#N/A,#N/A,FALSE,"Table 6A 1999";#N/A,#N/A,FALSE,"Table 7A 1999";#N/A,#N/A,FALSE,"Table 8A 1999";#N/A,#N/A,FALSE,"Remarks"}</definedName>
    <definedName name="EI" localSheetId="10" hidden="1">{#N/A,#N/A,FALSE,"Explanatory notes";#N/A,#N/A,FALSE,"Table 1A 1999";#N/A,#N/A,FALSE,"Table 2A 1999";#N/A,#N/A,FALSE,"Table 3A 1999";#N/A,#N/A,FALSE,"Table 4A 1999";#N/A,#N/A,FALSE,"Table 5A 1999";#N/A,#N/A,FALSE,"Table 6A 1999";#N/A,#N/A,FALSE,"Table 7A 1999";#N/A,#N/A,FALSE,"Table 8A 1999";#N/A,#N/A,FALSE,"Remarks"}</definedName>
    <definedName name="EI" localSheetId="11" hidden="1">{#N/A,#N/A,FALSE,"Explanatory notes";#N/A,#N/A,FALSE,"Table 1A 1999";#N/A,#N/A,FALSE,"Table 2A 1999";#N/A,#N/A,FALSE,"Table 3A 1999";#N/A,#N/A,FALSE,"Table 4A 1999";#N/A,#N/A,FALSE,"Table 5A 1999";#N/A,#N/A,FALSE,"Table 6A 1999";#N/A,#N/A,FALSE,"Table 7A 1999";#N/A,#N/A,FALSE,"Table 8A 1999";#N/A,#N/A,FALSE,"Remarks"}</definedName>
    <definedName name="EI" localSheetId="13" hidden="1">{#N/A,#N/A,FALSE,"Explanatory notes";#N/A,#N/A,FALSE,"Table 1A 1999";#N/A,#N/A,FALSE,"Table 2A 1999";#N/A,#N/A,FALSE,"Table 3A 1999";#N/A,#N/A,FALSE,"Table 4A 1999";#N/A,#N/A,FALSE,"Table 5A 1999";#N/A,#N/A,FALSE,"Table 6A 1999";#N/A,#N/A,FALSE,"Table 7A 1999";#N/A,#N/A,FALSE,"Table 8A 1999";#N/A,#N/A,FALSE,"Remarks"}</definedName>
    <definedName name="EI" localSheetId="19" hidden="1">{#N/A,#N/A,FALSE,"Explanatory notes";#N/A,#N/A,FALSE,"Table 1A 1999";#N/A,#N/A,FALSE,"Table 2A 1999";#N/A,#N/A,FALSE,"Table 3A 1999";#N/A,#N/A,FALSE,"Table 4A 1999";#N/A,#N/A,FALSE,"Table 5A 1999";#N/A,#N/A,FALSE,"Table 6A 1999";#N/A,#N/A,FALSE,"Table 7A 1999";#N/A,#N/A,FALSE,"Table 8A 1999";#N/A,#N/A,FALSE,"Remarks"}</definedName>
    <definedName name="EI" hidden="1">{#N/A,#N/A,FALSE,"Explanatory notes";#N/A,#N/A,FALSE,"Table 1A 1999";#N/A,#N/A,FALSE,"Table 2A 1999";#N/A,#N/A,FALSE,"Table 3A 1999";#N/A,#N/A,FALSE,"Table 4A 1999";#N/A,#N/A,FALSE,"Table 5A 1999";#N/A,#N/A,FALSE,"Table 6A 1999";#N/A,#N/A,FALSE,"Table 7A 1999";#N/A,#N/A,FALSE,"Table 8A 1999";#N/A,#N/A,FALSE,"Remarks"}</definedName>
    <definedName name="EI_1"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_Phenol" localSheetId="0"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26"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0"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1"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3"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9" hidden="1">{#N/A,#N/A,FALSE,"Explanatory notes";#N/A,#N/A,FALSE,"Table 1A 1999";#N/A,#N/A,FALSE,"Table 2A 1999";#N/A,#N/A,FALSE,"Table 3A 1999";#N/A,#N/A,FALSE,"Table 4A 1999";#N/A,#N/A,FALSE,"Table 5A 1999";#N/A,#N/A,FALSE,"Table 6A 1999";#N/A,#N/A,FALSE,"Table 7A 1999";#N/A,#N/A,FALSE,"Table 8A 1999";#N/A,#N/A,FALSE,"Remarks"}</definedName>
    <definedName name="EI_BPA_Phenol" hidden="1">{#N/A,#N/A,FALSE,"Explanatory notes";#N/A,#N/A,FALSE,"Table 1A 1999";#N/A,#N/A,FALSE,"Table 2A 1999";#N/A,#N/A,FALSE,"Table 3A 1999";#N/A,#N/A,FALSE,"Table 4A 1999";#N/A,#N/A,FALSE,"Table 5A 1999";#N/A,#N/A,FALSE,"Table 6A 1999";#N/A,#N/A,FALSE,"Table 7A 1999";#N/A,#N/A,FALSE,"Table 8A 1999";#N/A,#N/A,FALSE,"Remarks"}</definedName>
    <definedName name="EI_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1" localSheetId="0" hidden="1">{#N/A,#N/A,FALSE,"Explanatory notes";#N/A,#N/A,FALSE,"Table 1A 1999";#N/A,#N/A,FALSE,"Table 2A 1999";#N/A,#N/A,FALSE,"Table 3A 1999";#N/A,#N/A,FALSE,"Table 4A 1999";#N/A,#N/A,FALSE,"Table 5A 1999";#N/A,#N/A,FALSE,"Table 6A 1999";#N/A,#N/A,FALSE,"Table 7A 1999";#N/A,#N/A,FALSE,"Table 8A 1999";#N/A,#N/A,FALSE,"Remarks"}</definedName>
    <definedName name="EI_phenol1" localSheetId="26" hidden="1">{#N/A,#N/A,FALSE,"Explanatory notes";#N/A,#N/A,FALSE,"Table 1A 1999";#N/A,#N/A,FALSE,"Table 2A 1999";#N/A,#N/A,FALSE,"Table 3A 1999";#N/A,#N/A,FALSE,"Table 4A 1999";#N/A,#N/A,FALSE,"Table 5A 1999";#N/A,#N/A,FALSE,"Table 6A 1999";#N/A,#N/A,FALSE,"Table 7A 1999";#N/A,#N/A,FALSE,"Table 8A 1999";#N/A,#N/A,FALSE,"Remarks"}</definedName>
    <definedName name="EI_phenol1" localSheetId="10" hidden="1">{#N/A,#N/A,FALSE,"Explanatory notes";#N/A,#N/A,FALSE,"Table 1A 1999";#N/A,#N/A,FALSE,"Table 2A 1999";#N/A,#N/A,FALSE,"Table 3A 1999";#N/A,#N/A,FALSE,"Table 4A 1999";#N/A,#N/A,FALSE,"Table 5A 1999";#N/A,#N/A,FALSE,"Table 6A 1999";#N/A,#N/A,FALSE,"Table 7A 1999";#N/A,#N/A,FALSE,"Table 8A 1999";#N/A,#N/A,FALSE,"Remarks"}</definedName>
    <definedName name="EI_phenol1" localSheetId="11" hidden="1">{#N/A,#N/A,FALSE,"Explanatory notes";#N/A,#N/A,FALSE,"Table 1A 1999";#N/A,#N/A,FALSE,"Table 2A 1999";#N/A,#N/A,FALSE,"Table 3A 1999";#N/A,#N/A,FALSE,"Table 4A 1999";#N/A,#N/A,FALSE,"Table 5A 1999";#N/A,#N/A,FALSE,"Table 6A 1999";#N/A,#N/A,FALSE,"Table 7A 1999";#N/A,#N/A,FALSE,"Table 8A 1999";#N/A,#N/A,FALSE,"Remarks"}</definedName>
    <definedName name="EI_phenol1" localSheetId="13" hidden="1">{#N/A,#N/A,FALSE,"Explanatory notes";#N/A,#N/A,FALSE,"Table 1A 1999";#N/A,#N/A,FALSE,"Table 2A 1999";#N/A,#N/A,FALSE,"Table 3A 1999";#N/A,#N/A,FALSE,"Table 4A 1999";#N/A,#N/A,FALSE,"Table 5A 1999";#N/A,#N/A,FALSE,"Table 6A 1999";#N/A,#N/A,FALSE,"Table 7A 1999";#N/A,#N/A,FALSE,"Table 8A 1999";#N/A,#N/A,FALSE,"Remarks"}</definedName>
    <definedName name="EI_phenol1" localSheetId="19" hidden="1">{#N/A,#N/A,FALSE,"Explanatory notes";#N/A,#N/A,FALSE,"Table 1A 1999";#N/A,#N/A,FALSE,"Table 2A 1999";#N/A,#N/A,FALSE,"Table 3A 1999";#N/A,#N/A,FALSE,"Table 4A 1999";#N/A,#N/A,FALSE,"Table 5A 1999";#N/A,#N/A,FALSE,"Table 6A 1999";#N/A,#N/A,FALSE,"Table 7A 1999";#N/A,#N/A,FALSE,"Table 8A 1999";#N/A,#N/A,FALSE,"Remarks"}</definedName>
    <definedName name="EI_phenol1" hidden="1">{#N/A,#N/A,FALSE,"Explanatory notes";#N/A,#N/A,FALSE,"Table 1A 1999";#N/A,#N/A,FALSE,"Table 2A 1999";#N/A,#N/A,FALSE,"Table 3A 1999";#N/A,#N/A,FALSE,"Table 4A 1999";#N/A,#N/A,FALSE,"Table 5A 1999";#N/A,#N/A,FALSE,"Table 6A 1999";#N/A,#N/A,FALSE,"Table 7A 1999";#N/A,#N/A,FALSE,"Table 8A 1999";#N/A,#N/A,FALSE,"Remarks"}</definedName>
    <definedName name="EI0"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Commercial" localSheetId="0">[3]ค่าไฟฟ้าในธุรกิจการค้า!$D$160:$D$231</definedName>
    <definedName name="Elec_Commercial" localSheetId="26">[4]ค่าไฟฟ้าในธุรกิจการค้า!$D$160:$D$231</definedName>
    <definedName name="Elec_Commercial" localSheetId="10">[4]ค่าไฟฟ้าในธุรกิจการค้า!$D$160:$D$231</definedName>
    <definedName name="Elec_Commercial" localSheetId="11">[4]ค่าไฟฟ้าในธุรกิจการค้า!$D$160:$D$231</definedName>
    <definedName name="Elec_Commercial" localSheetId="13">[4]ค่าไฟฟ้าในธุรกิจการค้า!$D$160:$D$231</definedName>
    <definedName name="Elec_Commercial" localSheetId="19">[4]ค่าไฟฟ้าในธุรกิจการค้า!$D$160:$D$231</definedName>
    <definedName name="Elec_Commercial">[4]ค่าไฟฟ้าในธุรกิจการค้า!$D$160:$D$231</definedName>
    <definedName name="Elec_Industry" localSheetId="0">[3]ค่าไฟฟ้าในอุตสาหกรรมการผลิต_AVG!$D$142:$D$204</definedName>
    <definedName name="Elec_Industry" localSheetId="26">[4]ค่าไฟฟ้าในอุตสาหกรรมการผลิต_AVG!$D$142:$D$204</definedName>
    <definedName name="Elec_Industry" localSheetId="10">[4]ค่าไฟฟ้าในอุตสาหกรรมการผลิต_AVG!$D$142:$D$204</definedName>
    <definedName name="Elec_Industry" localSheetId="11">[4]ค่าไฟฟ้าในอุตสาหกรรมการผลิต_AVG!$D$142:$D$204</definedName>
    <definedName name="Elec_Industry" localSheetId="13">[4]ค่าไฟฟ้าในอุตสาหกรรมการผลิต_AVG!$D$142:$D$204</definedName>
    <definedName name="Elec_Industry" localSheetId="19">[4]ค่าไฟฟ้าในอุตสาหกรรมการผลิต_AVG!$D$142:$D$204</definedName>
    <definedName name="Elec_Industry">[4]ค่าไฟฟ้าในอุตสาหกรรมการผลิต_AVG!$D$142:$D$204</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Factor" localSheetId="0">'[5]Emission factors'!$C$10:$C$20</definedName>
    <definedName name="EmissionFactor" localSheetId="26">'[1]Emission factors'!$C$10:$C$20</definedName>
    <definedName name="EmissionFactor" localSheetId="10">'[1]Emission factors'!$C$10:$C$20</definedName>
    <definedName name="EmissionFactor" localSheetId="11">'[1]Emission factors'!$C$10:$C$20</definedName>
    <definedName name="EmissionFactor" localSheetId="13">'[1]Emission factors'!$C$10:$C$20</definedName>
    <definedName name="EmissionFactor" localSheetId="19">'[1]Emission factors'!$C$10:$C$20</definedName>
    <definedName name="EmissionFactor">'[2]Emission factors'!$C$10:$C$20</definedName>
    <definedName name="Energy_Industries" localSheetId="0">[5]Lists!$Q$3:$Q$8</definedName>
    <definedName name="Energy_Industries" localSheetId="26">[1]Lists!$Q$3:$Q$8</definedName>
    <definedName name="Energy_Industries" localSheetId="10">[1]Lists!$Q$3:$Q$8</definedName>
    <definedName name="Energy_Industries" localSheetId="11">[1]Lists!$Q$3:$Q$8</definedName>
    <definedName name="Energy_Industries" localSheetId="13">[1]Lists!$Q$3:$Q$8</definedName>
    <definedName name="Energy_Industries" localSheetId="19">[1]Lists!$Q$3:$Q$8</definedName>
    <definedName name="Energy_Industries">[2]Lists!$Q$3:$Q$8</definedName>
    <definedName name="Energy2Burn" localSheetId="0">[13]Dropdown!$AA$2:$AA$14</definedName>
    <definedName name="Energy2Burn" localSheetId="26">[14]Dropdown!$AA$2:$AA$14</definedName>
    <definedName name="Energy2Burn" localSheetId="10">[14]Dropdown!$AA$2:$AA$14</definedName>
    <definedName name="Energy2Burn" localSheetId="11">[14]Dropdown!$AA$2:$AA$14</definedName>
    <definedName name="Energy2Burn" localSheetId="13">[14]Dropdown!$AA$2:$AA$14</definedName>
    <definedName name="Energy2Burn" localSheetId="19">[14]Dropdown!$AA$2:$AA$14</definedName>
    <definedName name="Energy2Burn">[15]Dropdown!$AA$2:$AA$14</definedName>
    <definedName name="FO_Commercial" localSheetId="0">[3]ค่าเชื้อเพลิงในธุรกิจการค้า!$F$161:$F$232</definedName>
    <definedName name="FO_Commercial" localSheetId="26">[4]ค่าเชื้อเพลิงในธุรกิจการค้า!$F$161:$F$232</definedName>
    <definedName name="FO_Commercial" localSheetId="10">[4]ค่าเชื้อเพลิงในธุรกิจการค้า!$F$161:$F$232</definedName>
    <definedName name="FO_Commercial" localSheetId="11">[4]ค่าเชื้อเพลิงในธุรกิจการค้า!$F$161:$F$232</definedName>
    <definedName name="FO_Commercial" localSheetId="13">[4]ค่าเชื้อเพลิงในธุรกิจการค้า!$F$161:$F$232</definedName>
    <definedName name="FO_Commercial" localSheetId="19">[4]ค่าเชื้อเพลิงในธุรกิจการค้า!$F$161:$F$232</definedName>
    <definedName name="FO_Commercial">[4]ค่าเชื้อเพลิงในธุรกิจการค้า!$F$161:$F$232</definedName>
    <definedName name="FO_Industry" localSheetId="0">[3]ค่าใช้จ่ายพลังงานอุตสาหกรรม_AVG!$T$142:$T$204</definedName>
    <definedName name="FO_Industry" localSheetId="26">[4]ค่าใช้จ่ายพลังงานอุตสาหกรรม_AVG!$T$142:$T$204</definedName>
    <definedName name="FO_Industry" localSheetId="10">[4]ค่าใช้จ่ายพลังงานอุตสาหกรรม_AVG!$T$142:$T$204</definedName>
    <definedName name="FO_Industry" localSheetId="11">[4]ค่าใช้จ่ายพลังงานอุตสาหกรรม_AVG!$T$142:$T$204</definedName>
    <definedName name="FO_Industry" localSheetId="13">[4]ค่าใช้จ่ายพลังงานอุตสาหกรรม_AVG!$T$142:$T$204</definedName>
    <definedName name="FO_Industry" localSheetId="19">[4]ค่าใช้จ่ายพลังงานอุตสาหกรรม_AVG!$T$142:$T$204</definedName>
    <definedName name="FO_Industry">[4]ค่าใช้จ่ายพลังงานอุตสาหกรรม_AVG!$T$142:$T$204</definedName>
    <definedName name="Frequency" localSheetId="0">[5]Lists!$BB$3:$BB$12</definedName>
    <definedName name="Frequency" localSheetId="26">[1]Lists!$BB$3:$BB$12</definedName>
    <definedName name="Frequency" localSheetId="10">[1]Lists!$BB$3:$BB$12</definedName>
    <definedName name="Frequency" localSheetId="11">[1]Lists!$BB$3:$BB$12</definedName>
    <definedName name="Frequency" localSheetId="13">[1]Lists!$BB$3:$BB$12</definedName>
    <definedName name="Frequency" localSheetId="19">[1]Lists!$BB$3:$BB$12</definedName>
    <definedName name="Frequency">[2]Lists!$BB$3:$BB$12</definedName>
    <definedName name="Fugitive_Coal" localSheetId="0">[5]Lists!$S$3:$S$17</definedName>
    <definedName name="Fugitive_Coal" localSheetId="26">[1]Lists!$S$3:$S$17</definedName>
    <definedName name="Fugitive_Coal" localSheetId="10">[1]Lists!$S$3:$S$17</definedName>
    <definedName name="Fugitive_Coal" localSheetId="11">[1]Lists!$S$3:$S$17</definedName>
    <definedName name="Fugitive_Coal" localSheetId="13">[1]Lists!$S$3:$S$17</definedName>
    <definedName name="Fugitive_Coal" localSheetId="19">[1]Lists!$S$3:$S$17</definedName>
    <definedName name="Fugitive_Coal">[2]Lists!$S$3:$S$17</definedName>
    <definedName name="Fugitive_Oil_Gas" localSheetId="0">[5]Lists!$U$3:$U$23</definedName>
    <definedName name="Fugitive_Oil_Gas" localSheetId="26">[1]Lists!$U$3:$U$23</definedName>
    <definedName name="Fugitive_Oil_Gas" localSheetId="10">[1]Lists!$U$3:$U$23</definedName>
    <definedName name="Fugitive_Oil_Gas" localSheetId="11">[1]Lists!$U$3:$U$23</definedName>
    <definedName name="Fugitive_Oil_Gas" localSheetId="13">[1]Lists!$U$3:$U$23</definedName>
    <definedName name="Fugitive_Oil_Gas" localSheetId="19">[1]Lists!$U$3:$U$23</definedName>
    <definedName name="Fugitive_Oil_Gas">[2]Lists!$U$3:$U$23</definedName>
    <definedName name="Gases" localSheetId="0">[5]Lists!$N$3:$N$20</definedName>
    <definedName name="Gases" localSheetId="26">[1]Lists!$N$3:$N$20</definedName>
    <definedName name="Gases" localSheetId="10">[1]Lists!$N$3:$N$20</definedName>
    <definedName name="Gases" localSheetId="11">[1]Lists!$N$3:$N$20</definedName>
    <definedName name="Gases" localSheetId="13">[1]Lists!$N$3:$N$20</definedName>
    <definedName name="Gases" localSheetId="19">[1]Lists!$N$3:$N$20</definedName>
    <definedName name="Gases">[2]Lists!$N$3:$N$20</definedName>
    <definedName name="Gases_2" localSheetId="0">[5]Lists!$E$3:$E$7</definedName>
    <definedName name="Gases_2" localSheetId="26">[1]Lists!$E$3:$E$7</definedName>
    <definedName name="Gases_2" localSheetId="10">[1]Lists!$E$3:$E$7</definedName>
    <definedName name="Gases_2" localSheetId="11">[1]Lists!$E$3:$E$7</definedName>
    <definedName name="Gases_2" localSheetId="13">[1]Lists!$E$3:$E$7</definedName>
    <definedName name="Gases_2" localSheetId="19">[1]Lists!$E$3:$E$7</definedName>
    <definedName name="Gases_2">[2]Lists!$E$3:$E$7</definedName>
    <definedName name="GPC" localSheetId="0">[1]Lists!#REF!</definedName>
    <definedName name="GPC" localSheetId="26">[1]Lists!#REF!</definedName>
    <definedName name="GPC" localSheetId="8">[2]Lists!#REF!</definedName>
    <definedName name="GPC" localSheetId="10">[1]Lists!#REF!</definedName>
    <definedName name="GPC" localSheetId="5">[2]Lists!#REF!</definedName>
    <definedName name="GPC" localSheetId="19">[1]Lists!#REF!</definedName>
    <definedName name="GPC" localSheetId="6">[2]Lists!#REF!</definedName>
    <definedName name="GPC">[1]Lists!#REF!</definedName>
    <definedName name="GPC_Sector" localSheetId="0">[1]Lists!#REF!</definedName>
    <definedName name="GPC_Sector" localSheetId="26">[1]Lists!#REF!</definedName>
    <definedName name="GPC_Sector" localSheetId="8">[2]Lists!#REF!</definedName>
    <definedName name="GPC_Sector" localSheetId="10">[1]Lists!#REF!</definedName>
    <definedName name="GPC_Sector" localSheetId="5">[2]Lists!#REF!</definedName>
    <definedName name="GPC_Sector" localSheetId="6">[2]Lists!#REF!</definedName>
    <definedName name="GPC_Sector">[1]Lists!#REF!</definedName>
    <definedName name="GPC_Stationary" localSheetId="0">[5]Lists!$O$3:$O$37</definedName>
    <definedName name="GPC_Stationary" localSheetId="26">[1]Lists!$O$3:$O$37</definedName>
    <definedName name="GPC_Stationary" localSheetId="10">[1]Lists!$O$3:$O$37</definedName>
    <definedName name="GPC_Stationary" localSheetId="11">[1]Lists!$O$3:$O$37</definedName>
    <definedName name="GPC_Stationary" localSheetId="13">[1]Lists!$O$3:$O$37</definedName>
    <definedName name="GPC_Stationary" localSheetId="19">[1]Lists!$O$3:$O$37</definedName>
    <definedName name="GPC_Stationary">[2]Lists!$O$3:$O$37</definedName>
    <definedName name="GPC_Stationary_2" localSheetId="0">[1]Lists!#REF!</definedName>
    <definedName name="GPC_Stationary_2" localSheetId="26">[1]Lists!#REF!</definedName>
    <definedName name="GPC_Stationary_2" localSheetId="8">[2]Lists!#REF!</definedName>
    <definedName name="GPC_Stationary_2" localSheetId="10">[1]Lists!#REF!</definedName>
    <definedName name="GPC_Stationary_2" localSheetId="5">[2]Lists!#REF!</definedName>
    <definedName name="GPC_Stationary_2" localSheetId="19">[1]Lists!#REF!</definedName>
    <definedName name="GPC_Stationary_2" localSheetId="6">[2]Lists!#REF!</definedName>
    <definedName name="GPC_Stationary_2">[1]Lists!#REF!</definedName>
    <definedName name="Grid" localSheetId="0">[5]Lists!$P$3:$P$13</definedName>
    <definedName name="Grid" localSheetId="26">[1]Lists!$P$3:$P$13</definedName>
    <definedName name="Grid" localSheetId="10">[1]Lists!$P$3:$P$13</definedName>
    <definedName name="Grid" localSheetId="11">[1]Lists!$P$3:$P$13</definedName>
    <definedName name="Grid" localSheetId="13">[1]Lists!$P$3:$P$13</definedName>
    <definedName name="Grid" localSheetId="19">[1]Lists!$P$3:$P$13</definedName>
    <definedName name="Grid">[2]Lists!$P$3:$P$13</definedName>
    <definedName name="GWP" localSheetId="0">[5]Lists!$F$3:$F$8</definedName>
    <definedName name="GWP" localSheetId="26">[1]Lists!$F$3:$F$8</definedName>
    <definedName name="GWP" localSheetId="10">[1]Lists!$F$3:$F$8</definedName>
    <definedName name="GWP" localSheetId="11">[1]Lists!$F$3:$F$8</definedName>
    <definedName name="GWP" localSheetId="13">[1]Lists!$F$3:$F$8</definedName>
    <definedName name="GWP" localSheetId="19">[1]Lists!$F$3:$F$8</definedName>
    <definedName name="GWP">[2]Lists!$F$3:$F$8</definedName>
    <definedName name="GWP_2" localSheetId="0">[5]Lists!$H$3:$H$8</definedName>
    <definedName name="GWP_2" localSheetId="26">[1]Lists!$H$3:$H$8</definedName>
    <definedName name="GWP_2" localSheetId="10">[1]Lists!$H$3:$H$8</definedName>
    <definedName name="GWP_2" localSheetId="11">[1]Lists!$H$3:$H$8</definedName>
    <definedName name="GWP_2" localSheetId="13">[1]Lists!$H$3:$H$8</definedName>
    <definedName name="GWP_2" localSheetId="19">[1]Lists!$H$3:$H$8</definedName>
    <definedName name="GWP_2">[2]Lists!$H$3:$H$8</definedName>
    <definedName name="GWP_CH4" localSheetId="0">[17]GWP!$E$4</definedName>
    <definedName name="GWP_CH4" localSheetId="26">[18]GWP!$E$4</definedName>
    <definedName name="GWP_CH4" localSheetId="10">[18]GWP!$E$4</definedName>
    <definedName name="GWP_CH4" localSheetId="11">[18]GWP!$E$4</definedName>
    <definedName name="GWP_CH4" localSheetId="13">[18]GWP!$E$4</definedName>
    <definedName name="GWP_CH4" localSheetId="19">[18]GWP!$E$4</definedName>
    <definedName name="GWP_CH4">[18]GWP!$E$4</definedName>
    <definedName name="GWP_CO2" localSheetId="0">[17]GWP!$D$4</definedName>
    <definedName name="GWP_CO2" localSheetId="26">[18]GWP!$D$4</definedName>
    <definedName name="GWP_CO2" localSheetId="10">[18]GWP!$D$4</definedName>
    <definedName name="GWP_CO2" localSheetId="11">[18]GWP!$D$4</definedName>
    <definedName name="GWP_CO2" localSheetId="13">[18]GWP!$D$4</definedName>
    <definedName name="GWP_CO2" localSheetId="19">[18]GWP!$D$4</definedName>
    <definedName name="GWP_CO2">[18]GWP!$D$4</definedName>
    <definedName name="GWP_Formula" localSheetId="0">[13]GWP!$B$6:$B$24</definedName>
    <definedName name="GWP_Formula" localSheetId="26">[14]GWP!$B$6:$B$24</definedName>
    <definedName name="GWP_Formula" localSheetId="10">[14]GWP!$B$6:$B$24</definedName>
    <definedName name="GWP_Formula" localSheetId="11">[14]GWP!$B$6:$B$24</definedName>
    <definedName name="GWP_Formula" localSheetId="13">[14]GWP!$B$6:$B$24</definedName>
    <definedName name="GWP_Formula" localSheetId="19">[14]GWP!$B$6:$B$24</definedName>
    <definedName name="GWP_Formula">[15]GWP!$B$6:$B$24</definedName>
    <definedName name="GWP_N2O" localSheetId="0">[17]GWP!$F$4</definedName>
    <definedName name="GWP_N2O" localSheetId="26">[18]GWP!$F$4</definedName>
    <definedName name="GWP_N2O" localSheetId="10">[18]GWP!$F$4</definedName>
    <definedName name="GWP_N2O" localSheetId="11">[18]GWP!$F$4</definedName>
    <definedName name="GWP_N2O" localSheetId="13">[18]GWP!$F$4</definedName>
    <definedName name="GWP_N2O" localSheetId="19">[18]GWP!$F$4</definedName>
    <definedName name="GWP_N2O">[18]GWP!$F$4</definedName>
    <definedName name="GWP_Option" localSheetId="0">[13]GWP!$B$4</definedName>
    <definedName name="GWP_Option" localSheetId="26">[14]GWP!$B$4</definedName>
    <definedName name="GWP_Option" localSheetId="10">[14]GWP!$B$4</definedName>
    <definedName name="GWP_Option" localSheetId="11">[14]GWP!$B$4</definedName>
    <definedName name="GWP_Option" localSheetId="13">[14]GWP!$B$4</definedName>
    <definedName name="GWP_Option" localSheetId="19">[14]GWP!$B$4</definedName>
    <definedName name="GWP_Option">[15]GWP!$B$4</definedName>
    <definedName name="GWP_Report" localSheetId="0">[13]GWP!$C$5:$F$5</definedName>
    <definedName name="GWP_Report" localSheetId="26">[14]GWP!$C$5:$F$5</definedName>
    <definedName name="GWP_Report" localSheetId="10">[14]GWP!$C$5:$F$5</definedName>
    <definedName name="GWP_Report" localSheetId="11">[14]GWP!$C$5:$F$5</definedName>
    <definedName name="GWP_Report" localSheetId="13">[14]GWP!$C$5:$F$5</definedName>
    <definedName name="GWP_Report" localSheetId="19">[14]GWP!$C$5:$F$5</definedName>
    <definedName name="GWP_Report">[15]GWP!$C$5:$F$5</definedName>
    <definedName name="half_life">[16]Defaults!$D$8:$K$12</definedName>
    <definedName name="HH_FuelType_N" localSheetId="0">[17]ค่าใช้จ่ายพลังงานครัวเรือน!$C$6:$C$13</definedName>
    <definedName name="HH_FuelType_N" localSheetId="26">[18]ค่าใช้จ่ายพลังงานครัวเรือน!$C$6:$C$13</definedName>
    <definedName name="HH_FuelType_N" localSheetId="10">[18]ค่าใช้จ่ายพลังงานครัวเรือน!$C$6:$C$13</definedName>
    <definedName name="HH_FuelType_N" localSheetId="11">[18]ค่าใช้จ่ายพลังงานครัวเรือน!$C$6:$C$13</definedName>
    <definedName name="HH_FuelType_N" localSheetId="13">[18]ค่าใช้จ่ายพลังงานครัวเรือน!$C$6:$C$13</definedName>
    <definedName name="HH_FuelType_N" localSheetId="19">[18]ค่าใช้จ่ายพลังงานครัวเรือน!$C$6:$C$13</definedName>
    <definedName name="HH_FuelType_N">[18]ค่าใช้จ่ายพลังงานครัวเรือน!$C$6:$C$13</definedName>
    <definedName name="HH_FuelType_S" localSheetId="0">[3]ค่าใช้จ่ายพลังงานครัวเรือน!$C$33:$C$40</definedName>
    <definedName name="HH_FuelType_S" localSheetId="26">[4]ค่าใช้จ่ายพลังงานครัวเรือน!$C$33:$C$40</definedName>
    <definedName name="HH_FuelType_S" localSheetId="10">[4]ค่าใช้จ่ายพลังงานครัวเรือน!$C$33:$C$40</definedName>
    <definedName name="HH_FuelType_S" localSheetId="11">[4]ค่าใช้จ่ายพลังงานครัวเรือน!$C$33:$C$40</definedName>
    <definedName name="HH_FuelType_S" localSheetId="13">[4]ค่าใช้จ่ายพลังงานครัวเรือน!$C$33:$C$40</definedName>
    <definedName name="HH_FuelType_S" localSheetId="19">[4]ค่าใช้จ่ายพลังงานครัวเรือน!$C$33:$C$40</definedName>
    <definedName name="HH_FuelType_S">[4]ค่าใช้จ่ายพลังงานครัวเรือน!$C$33:$C$40</definedName>
    <definedName name="HH_TypeOfEnergy" localSheetId="0">[3]Dropdown!$C$2:$C$4</definedName>
    <definedName name="HH_TypeOfEnergy" localSheetId="26">[4]Dropdown!$C$2:$C$4</definedName>
    <definedName name="HH_TypeOfEnergy" localSheetId="10">[4]Dropdown!$C$2:$C$4</definedName>
    <definedName name="HH_TypeOfEnergy" localSheetId="11">[4]Dropdown!$C$2:$C$4</definedName>
    <definedName name="HH_TypeOfEnergy" localSheetId="13">[4]Dropdown!$C$2:$C$4</definedName>
    <definedName name="HH_TypeOfEnergy" localSheetId="19">[4]Dropdown!$C$2:$C$4</definedName>
    <definedName name="HH_TypeOfEnergy">[4]Dropdown!$C$2:$C$4</definedName>
    <definedName name="HSD_Industry" localSheetId="0">[3]ค่าใช้จ่ายพลังงานอุตสาหกรรม_AVG!$Q$142:$Q$204</definedName>
    <definedName name="HSD_Industry" localSheetId="26">[4]ค่าใช้จ่ายพลังงานอุตสาหกรรม_AVG!$Q$142:$Q$204</definedName>
    <definedName name="HSD_Industry" localSheetId="10">[4]ค่าใช้จ่ายพลังงานอุตสาหกรรม_AVG!$Q$142:$Q$204</definedName>
    <definedName name="HSD_Industry" localSheetId="11">[4]ค่าใช้จ่ายพลังงานอุตสาหกรรม_AVG!$Q$142:$Q$204</definedName>
    <definedName name="HSD_Industry" localSheetId="13">[4]ค่าใช้จ่ายพลังงานอุตสาหกรรม_AVG!$Q$142:$Q$204</definedName>
    <definedName name="HSD_Industry" localSheetId="19">[4]ค่าใช้จ่ายพลังงานอุตสาหกรรม_AVG!$Q$142:$Q$204</definedName>
    <definedName name="HSD_Industry">[4]ค่าใช้จ่ายพลังงานอุตสาหกรรม_AVG!$Q$142:$Q$204</definedName>
    <definedName name="Incineration" localSheetId="0">[5]Lists!$AJ$3:$AJ$6</definedName>
    <definedName name="Incineration" localSheetId="26">[1]Lists!$AJ$3:$AJ$6</definedName>
    <definedName name="Incineration" localSheetId="10">[1]Lists!$AJ$3:$AJ$6</definedName>
    <definedName name="Incineration" localSheetId="11">[1]Lists!$AJ$3:$AJ$6</definedName>
    <definedName name="Incineration" localSheetId="13">[1]Lists!$AJ$3:$AJ$6</definedName>
    <definedName name="Incineration" localSheetId="19">[1]Lists!$AJ$3:$AJ$6</definedName>
    <definedName name="Incineration">[2]Lists!$AJ$3:$AJ$6</definedName>
    <definedName name="industrial" localSheetId="0">#REF!</definedName>
    <definedName name="industrial" localSheetId="26">#REF!</definedName>
    <definedName name="industrial" localSheetId="8">#REF!</definedName>
    <definedName name="industrial" localSheetId="10">#REF!</definedName>
    <definedName name="industrial" localSheetId="5">#REF!</definedName>
    <definedName name="industrial" localSheetId="19">#REF!</definedName>
    <definedName name="industrial" localSheetId="6">#REF!</definedName>
    <definedName name="industrial">#REF!</definedName>
    <definedName name="Industrial_processes" localSheetId="0">[1]Lists!#REF!</definedName>
    <definedName name="Industrial_processes" localSheetId="26">[1]Lists!#REF!</definedName>
    <definedName name="Industrial_processes" localSheetId="8">[2]Lists!#REF!</definedName>
    <definedName name="Industrial_processes" localSheetId="10">[1]Lists!#REF!</definedName>
    <definedName name="Industrial_processes" localSheetId="5">[2]Lists!#REF!</definedName>
    <definedName name="Industrial_processes" localSheetId="6">[2]Lists!#REF!</definedName>
    <definedName name="Industrial_processes">[1]Lists!#REF!</definedName>
    <definedName name="Industrial2" localSheetId="0">#REF!</definedName>
    <definedName name="Industrial2" localSheetId="26">#REF!</definedName>
    <definedName name="Industrial2" localSheetId="8">#REF!</definedName>
    <definedName name="Industrial2" localSheetId="10">#REF!</definedName>
    <definedName name="Industrial2" localSheetId="5">#REF!</definedName>
    <definedName name="Industrial2" localSheetId="19">#REF!</definedName>
    <definedName name="Industrial2" localSheetId="6">#REF!</definedName>
    <definedName name="Industrial2">#REF!</definedName>
    <definedName name="industrial3" localSheetId="0">#REF!</definedName>
    <definedName name="industrial3" localSheetId="26">#REF!</definedName>
    <definedName name="industrial3" localSheetId="8">#REF!</definedName>
    <definedName name="industrial3" localSheetId="10">#REF!</definedName>
    <definedName name="industrial3" localSheetId="5">#REF!</definedName>
    <definedName name="industrial3" localSheetId="19">#REF!</definedName>
    <definedName name="industrial3" localSheetId="6">#REF!</definedName>
    <definedName name="industrial3">#REF!</definedName>
    <definedName name="Industry" localSheetId="0">[13]CCF_05!$M$81:$M$143</definedName>
    <definedName name="Industry" localSheetId="26">[14]CCF_05!$M$81:$M$143</definedName>
    <definedName name="Industry" localSheetId="10">[14]CCF_05!$M$81:$M$143</definedName>
    <definedName name="Industry" localSheetId="11">[14]CCF_05!$M$81:$M$143</definedName>
    <definedName name="Industry" localSheetId="13">[14]CCF_05!$M$81:$M$143</definedName>
    <definedName name="Industry" localSheetId="19">[14]CCF_05!$M$81:$M$143</definedName>
    <definedName name="Industry">[15]CCF_05!$M$81:$M$143</definedName>
    <definedName name="Inventory" localSheetId="0">[5]Lists!$D$3:$D$7</definedName>
    <definedName name="Inventory" localSheetId="26">[1]Lists!$D$3:$D$7</definedName>
    <definedName name="Inventory" localSheetId="10">[1]Lists!$D$3:$D$7</definedName>
    <definedName name="Inventory" localSheetId="11">[1]Lists!$D$3:$D$7</definedName>
    <definedName name="Inventory" localSheetId="13">[1]Lists!$D$3:$D$7</definedName>
    <definedName name="Inventory" localSheetId="19">[1]Lists!$D$3:$D$7</definedName>
    <definedName name="Inventory">[2]Lists!$D$3:$D$7</definedName>
    <definedName name="IPPU" localSheetId="0">[1]Lists!#REF!</definedName>
    <definedName name="IPPU" localSheetId="26">[1]Lists!#REF!</definedName>
    <definedName name="IPPU" localSheetId="8">[2]Lists!#REF!</definedName>
    <definedName name="IPPU" localSheetId="10">[1]Lists!#REF!</definedName>
    <definedName name="IPPU" localSheetId="5">[2]Lists!#REF!</definedName>
    <definedName name="IPPU" localSheetId="19">[1]Lists!#REF!</definedName>
    <definedName name="IPPU" localSheetId="6">[2]Lists!#REF!</definedName>
    <definedName name="IPPU">[1]Lists!#REF!</definedName>
    <definedName name="IPPU_IP" localSheetId="0">[5]Lists!$AP$3:$AP$28</definedName>
    <definedName name="IPPU_IP" localSheetId="26">[1]Lists!$AP$3:$AP$28</definedName>
    <definedName name="IPPU_IP" localSheetId="10">[1]Lists!$AP$3:$AP$28</definedName>
    <definedName name="IPPU_IP" localSheetId="11">[1]Lists!$AP$3:$AP$28</definedName>
    <definedName name="IPPU_IP" localSheetId="13">[1]Lists!$AP$3:$AP$28</definedName>
    <definedName name="IPPU_IP" localSheetId="19">[1]Lists!$AP$3:$AP$28</definedName>
    <definedName name="IPPU_IP">[2]Lists!$AP$3:$AP$28</definedName>
    <definedName name="IPPU_PU" localSheetId="0">[5]Lists!$AR$3:$AR$30</definedName>
    <definedName name="IPPU_PU" localSheetId="26">[1]Lists!$AR$3:$AR$30</definedName>
    <definedName name="IPPU_PU" localSheetId="10">[1]Lists!$AR$3:$AR$30</definedName>
    <definedName name="IPPU_PU" localSheetId="11">[1]Lists!$AR$3:$AR$30</definedName>
    <definedName name="IPPU_PU" localSheetId="13">[1]Lists!$AR$3:$AR$30</definedName>
    <definedName name="IPPU_PU" localSheetId="19">[1]Lists!$AR$3:$AR$30</definedName>
    <definedName name="IPPU_PU">[2]Lists!$AR$3:$AR$30</definedName>
    <definedName name="Land" localSheetId="0">[1]Lists!#REF!</definedName>
    <definedName name="Land" localSheetId="26">[1]Lists!#REF!</definedName>
    <definedName name="Land" localSheetId="8">[2]Lists!#REF!</definedName>
    <definedName name="Land" localSheetId="10">[1]Lists!#REF!</definedName>
    <definedName name="Land" localSheetId="5">[2]Lists!#REF!</definedName>
    <definedName name="Land" localSheetId="19">[1]Lists!#REF!</definedName>
    <definedName name="Land" localSheetId="6">[2]Lists!#REF!</definedName>
    <definedName name="Land">[1]Lists!#REF!</definedName>
    <definedName name="Livestock" localSheetId="0">[1]Lists!#REF!</definedName>
    <definedName name="Livestock" localSheetId="26">[1]Lists!#REF!</definedName>
    <definedName name="Livestock" localSheetId="8">[2]Lists!#REF!</definedName>
    <definedName name="Livestock" localSheetId="10">[1]Lists!#REF!</definedName>
    <definedName name="Livestock" localSheetId="5">[2]Lists!#REF!</definedName>
    <definedName name="Livestock" localSheetId="6">[2]Lists!#REF!</definedName>
    <definedName name="Livestock">[1]Lists!#REF!</definedName>
    <definedName name="LPG_Commercial" localSheetId="0">[3]ค่าเชื้อเพลิงในธุรกิจการค้า!$E$161:$E$232</definedName>
    <definedName name="LPG_Commercial" localSheetId="26">[4]ค่าเชื้อเพลิงในธุรกิจการค้า!$E$161:$E$232</definedName>
    <definedName name="LPG_Commercial" localSheetId="10">[4]ค่าเชื้อเพลิงในธุรกิจการค้า!$E$161:$E$232</definedName>
    <definedName name="LPG_Commercial" localSheetId="11">[4]ค่าเชื้อเพลิงในธุรกิจการค้า!$E$161:$E$232</definedName>
    <definedName name="LPG_Commercial" localSheetId="13">[4]ค่าเชื้อเพลิงในธุรกิจการค้า!$E$161:$E$232</definedName>
    <definedName name="LPG_Commercial" localSheetId="19">[4]ค่าเชื้อเพลิงในธุรกิจการค้า!$E$161:$E$232</definedName>
    <definedName name="LPG_Commercial">[4]ค่าเชื้อเพลิงในธุรกิจการค้า!$E$161:$E$232</definedName>
    <definedName name="LPG_Industry" localSheetId="0">[3]ค่าใช้จ่ายพลังงานอุตสาหกรรม_AVG!$J$142:$J$204</definedName>
    <definedName name="LPG_Industry" localSheetId="26">[4]ค่าใช้จ่ายพลังงานอุตสาหกรรม_AVG!$J$142:$J$204</definedName>
    <definedName name="LPG_Industry" localSheetId="10">[4]ค่าใช้จ่ายพลังงานอุตสาหกรรม_AVG!$J$142:$J$204</definedName>
    <definedName name="LPG_Industry" localSheetId="11">[4]ค่าใช้จ่ายพลังงานอุตสาหกรรม_AVG!$J$142:$J$204</definedName>
    <definedName name="LPG_Industry" localSheetId="13">[4]ค่าใช้จ่ายพลังงานอุตสาหกรรม_AVG!$J$142:$J$204</definedName>
    <definedName name="LPG_Industry" localSheetId="19">[4]ค่าใช้จ่ายพลังงานอุตสาหกรรม_AVG!$J$142:$J$204</definedName>
    <definedName name="LPG_Industry">[4]ค่าใช้จ่ายพลังงานอุตสาหกรรม_AVG!$J$142:$J$204</definedName>
    <definedName name="Method" localSheetId="0">[5]Lists!$W$3:$W$8</definedName>
    <definedName name="Method" localSheetId="26">[1]Lists!$W$3:$W$8</definedName>
    <definedName name="Method" localSheetId="10">[1]Lists!$W$3:$W$8</definedName>
    <definedName name="Method" localSheetId="11">[1]Lists!$W$3:$W$8</definedName>
    <definedName name="Method" localSheetId="13">[1]Lists!$W$3:$W$8</definedName>
    <definedName name="Method" localSheetId="19">[1]Lists!$W$3:$W$8</definedName>
    <definedName name="Method">[2]Lists!$W$3:$W$8</definedName>
    <definedName name="MMS_DailySpread" localSheetId="0">[19]EF!$Y$45:$AG$62</definedName>
    <definedName name="MMS_DailySpread" localSheetId="27">EF_Livestock!$L$91:$T$108</definedName>
    <definedName name="MMS_DailySpread" localSheetId="26">EF_Waste!#REF!</definedName>
    <definedName name="MMS_DailySpread" localSheetId="10">[20]EF!$Y$45:$AG$62</definedName>
    <definedName name="MMS_DailySpread" localSheetId="11">[20]EF!$Y$45:$AG$62</definedName>
    <definedName name="MMS_DailySpread" localSheetId="13">[20]EF!$Y$45:$AG$62</definedName>
    <definedName name="MMS_DailySpread" localSheetId="19">[20]EF!$Y$45:$AG$62</definedName>
    <definedName name="MMS_DailySpread">[21]EF!$Y$45:$AG$62</definedName>
    <definedName name="MMS_Digester" localSheetId="0">[19]EF!$Y$99:$AG$116</definedName>
    <definedName name="MMS_Digester" localSheetId="27">EF_Livestock!$L$145:$T$162</definedName>
    <definedName name="MMS_Digester" localSheetId="26">EF_Waste!#REF!</definedName>
    <definedName name="MMS_Digester" localSheetId="10">[20]EF!$Y$99:$AG$116</definedName>
    <definedName name="MMS_Digester" localSheetId="11">[20]EF!$Y$99:$AG$116</definedName>
    <definedName name="MMS_Digester" localSheetId="13">[20]EF!$Y$99:$AG$116</definedName>
    <definedName name="MMS_Digester" localSheetId="19">[20]EF!$Y$99:$AG$116</definedName>
    <definedName name="MMS_Digester">[21]EF!$Y$99:$AG$116</definedName>
    <definedName name="MMS_Drylot" localSheetId="0">[19]EF!$Y$63:$AG$80</definedName>
    <definedName name="MMS_Drylot" localSheetId="27">EF_Livestock!$L$109:$T$126</definedName>
    <definedName name="MMS_Drylot" localSheetId="26">EF_Waste!#REF!</definedName>
    <definedName name="MMS_Drylot" localSheetId="10">[20]EF!$Y$63:$AG$80</definedName>
    <definedName name="MMS_Drylot" localSheetId="11">[20]EF!$Y$63:$AG$80</definedName>
    <definedName name="MMS_Drylot" localSheetId="13">[20]EF!$Y$63:$AG$80</definedName>
    <definedName name="MMS_Drylot" localSheetId="19">[20]EF!$Y$63:$AG$80</definedName>
    <definedName name="MMS_Drylot">[21]EF!$Y$63:$AG$80</definedName>
    <definedName name="MMS_Lagoon" localSheetId="0">[19]EF!$Y$9:$AG$26</definedName>
    <definedName name="MMS_Lagoon" localSheetId="27">EF_Livestock!$L$55:$T$72</definedName>
    <definedName name="MMS_Lagoon" localSheetId="26">EF_Waste!#REF!</definedName>
    <definedName name="MMS_Lagoon" localSheetId="10">[20]EF!$Y$9:$AG$26</definedName>
    <definedName name="MMS_Lagoon" localSheetId="11">[20]EF!$Y$9:$AG$26</definedName>
    <definedName name="MMS_Lagoon" localSheetId="13">[20]EF!$Y$9:$AG$26</definedName>
    <definedName name="MMS_Lagoon" localSheetId="19">[20]EF!$Y$9:$AG$26</definedName>
    <definedName name="MMS_Lagoon">[21]EF!$Y$9:$AG$26</definedName>
    <definedName name="MMS_Liquid" localSheetId="0">[19]EF!$Y$27:$AG$44</definedName>
    <definedName name="MMS_Liquid" localSheetId="27">EF_Livestock!$L$73:$T$90</definedName>
    <definedName name="MMS_Liquid" localSheetId="26">EF_Waste!#REF!</definedName>
    <definedName name="MMS_Liquid" localSheetId="10">[20]EF!$Y$27:$AG$44</definedName>
    <definedName name="MMS_Liquid" localSheetId="11">[20]EF!$Y$27:$AG$44</definedName>
    <definedName name="MMS_Liquid" localSheetId="13">[20]EF!$Y$27:$AG$44</definedName>
    <definedName name="MMS_Liquid" localSheetId="19">[20]EF!$Y$27:$AG$44</definedName>
    <definedName name="MMS_Liquid">[21]EF!$Y$27:$AG$44</definedName>
    <definedName name="MMS_Paddock" localSheetId="0">[19]EF!$Y$81:$AG$98</definedName>
    <definedName name="MMS_Paddock" localSheetId="27">EF_Livestock!$L$127:$T$144</definedName>
    <definedName name="MMS_Paddock" localSheetId="26">EF_Waste!#REF!</definedName>
    <definedName name="MMS_Paddock" localSheetId="10">[20]EF!$Y$81:$AG$98</definedName>
    <definedName name="MMS_Paddock" localSheetId="11">[20]EF!$Y$81:$AG$98</definedName>
    <definedName name="MMS_Paddock" localSheetId="13">[20]EF!$Y$81:$AG$98</definedName>
    <definedName name="MMS_Paddock" localSheetId="19">[20]EF!$Y$81:$AG$98</definedName>
    <definedName name="MMS_Paddock">[21]EF!$Y$81:$AG$98</definedName>
    <definedName name="Multiplier" localSheetId="0">[5]Lists!$M$3:$M$18</definedName>
    <definedName name="Multiplier" localSheetId="26">[1]Lists!$M$3:$M$18</definedName>
    <definedName name="Multiplier" localSheetId="10">[1]Lists!$M$3:$M$18</definedName>
    <definedName name="Multiplier" localSheetId="11">[1]Lists!$M$3:$M$18</definedName>
    <definedName name="Multiplier" localSheetId="13">[1]Lists!$M$3:$M$18</definedName>
    <definedName name="Multiplier" localSheetId="19">[1]Lists!$M$3:$M$18</definedName>
    <definedName name="Multiplier">[2]Lists!$M$3:$M$18</definedName>
    <definedName name="Name" localSheetId="0">[3]Info!$F$3</definedName>
    <definedName name="Name" localSheetId="26">[4]Info!$F$3</definedName>
    <definedName name="Name" localSheetId="10">[4]Info!$F$3</definedName>
    <definedName name="Name" localSheetId="11">[4]Info!$F$3</definedName>
    <definedName name="Name" localSheetId="13">[4]Info!$F$3</definedName>
    <definedName name="Name" localSheetId="19">[4]Info!$F$3</definedName>
    <definedName name="Name">[4]Info!$F$3</definedName>
    <definedName name="NCV_ถ่าน" localSheetId="0">[13]NCV!$D$34</definedName>
    <definedName name="NCV_ถ่าน" localSheetId="26">[14]NCV!$D$34</definedName>
    <definedName name="NCV_ถ่าน" localSheetId="10">[14]NCV!$D$34</definedName>
    <definedName name="NCV_ถ่าน" localSheetId="11">[14]NCV!$D$34</definedName>
    <definedName name="NCV_ถ่าน" localSheetId="13">[14]NCV!$D$34</definedName>
    <definedName name="NCV_ถ่าน" localSheetId="19">[14]NCV!$D$34</definedName>
    <definedName name="NCV_ถ่าน">[15]NCV!$D$34</definedName>
    <definedName name="NCV_น้ำมันเครื่องบิน" localSheetId="0">[13]NCV!$D$13</definedName>
    <definedName name="NCV_น้ำมันเครื่องบิน" localSheetId="26">[14]NCV!$D$13</definedName>
    <definedName name="NCV_น้ำมันเครื่องบิน" localSheetId="10">[14]NCV!$D$13</definedName>
    <definedName name="NCV_น้ำมันเครื่องบิน" localSheetId="11">[14]NCV!$D$13</definedName>
    <definedName name="NCV_น้ำมันเครื่องบิน" localSheetId="13">[14]NCV!$D$13</definedName>
    <definedName name="NCV_น้ำมันเครื่องบิน" localSheetId="19">[14]NCV!$D$13</definedName>
    <definedName name="NCV_น้ำมันเครื่องบิน">[15]NCV!$D$13</definedName>
    <definedName name="NCV_น้ำมันเบนซิน" localSheetId="0">[17]NCV!$D$12</definedName>
    <definedName name="NCV_น้ำมันเบนซิน" localSheetId="26">[18]NCV!$D$12</definedName>
    <definedName name="NCV_น้ำมันเบนซิน" localSheetId="10">[18]NCV!$D$12</definedName>
    <definedName name="NCV_น้ำมันเบนซิน" localSheetId="11">[18]NCV!$D$12</definedName>
    <definedName name="NCV_น้ำมันเบนซิน" localSheetId="13">[18]NCV!$D$12</definedName>
    <definedName name="NCV_น้ำมันเบนซิน" localSheetId="19">[18]NCV!$D$12</definedName>
    <definedName name="NCV_น้ำมันเบนซิน">[18]NCV!$D$12</definedName>
    <definedName name="NCV_น้ำมันดีเซล" localSheetId="0">[17]NCV!$D$15</definedName>
    <definedName name="NCV_น้ำมันดีเซล" localSheetId="26">[18]NCV!$D$15</definedName>
    <definedName name="NCV_น้ำมันดีเซล" localSheetId="10">[18]NCV!$D$15</definedName>
    <definedName name="NCV_น้ำมันดีเซล" localSheetId="11">[18]NCV!$D$15</definedName>
    <definedName name="NCV_น้ำมันดีเซล" localSheetId="13">[18]NCV!$D$15</definedName>
    <definedName name="NCV_น้ำมันดีเซล" localSheetId="19">[18]NCV!$D$15</definedName>
    <definedName name="NCV_น้ำมันดีเซล">[18]NCV!$D$15</definedName>
    <definedName name="NGV_Commercial" localSheetId="0">[3]ค่าเชื้อเพลิงในธุรกิจการค้า!$D$161:$D$232</definedName>
    <definedName name="NGV_Commercial" localSheetId="26">[4]ค่าเชื้อเพลิงในธุรกิจการค้า!$D$161:$D$232</definedName>
    <definedName name="NGV_Commercial" localSheetId="10">[4]ค่าเชื้อเพลิงในธุรกิจการค้า!$D$161:$D$232</definedName>
    <definedName name="NGV_Commercial" localSheetId="11">[4]ค่าเชื้อเพลิงในธุรกิจการค้า!$D$161:$D$232</definedName>
    <definedName name="NGV_Commercial" localSheetId="13">[4]ค่าเชื้อเพลิงในธุรกิจการค้า!$D$161:$D$232</definedName>
    <definedName name="NGV_Commercial" localSheetId="19">[4]ค่าเชื้อเพลิงในธุรกิจการค้า!$D$161:$D$232</definedName>
    <definedName name="NGV_Commercial">[4]ค่าเชื้อเพลิงในธุรกิจการค้า!$D$161:$D$232</definedName>
    <definedName name="NGV_Industry" localSheetId="0">[3]ค่าใช้จ่ายพลังงานอุตสาหกรรม_AVG!$I$142:$I$204</definedName>
    <definedName name="NGV_Industry" localSheetId="26">[4]ค่าใช้จ่ายพลังงานอุตสาหกรรม_AVG!$I$142:$I$204</definedName>
    <definedName name="NGV_Industry" localSheetId="10">[4]ค่าใช้จ่ายพลังงานอุตสาหกรรม_AVG!$I$142:$I$204</definedName>
    <definedName name="NGV_Industry" localSheetId="11">[4]ค่าใช้จ่ายพลังงานอุตสาหกรรม_AVG!$I$142:$I$204</definedName>
    <definedName name="NGV_Industry" localSheetId="13">[4]ค่าใช้จ่ายพลังงานอุตสาหกรรม_AVG!$I$142:$I$204</definedName>
    <definedName name="NGV_Industry" localSheetId="19">[4]ค่าใช้จ่ายพลังงานอุตสาหกรรม_AVG!$I$142:$I$204</definedName>
    <definedName name="NGV_Industry">[4]ค่าใช้จ่ายพลังงานอุตสาหกรรม_AVG!$I$142:$I$204</definedName>
    <definedName name="NK" localSheetId="0">[5]Lists!$K$3:$K$7</definedName>
    <definedName name="NK" localSheetId="26">[1]Lists!$K$3:$K$7</definedName>
    <definedName name="NK" localSheetId="10">[1]Lists!$K$3:$K$7</definedName>
    <definedName name="NK" localSheetId="11">[1]Lists!$K$3:$K$7</definedName>
    <definedName name="NK" localSheetId="13">[1]Lists!$K$3:$K$7</definedName>
    <definedName name="NK" localSheetId="19">[1]Lists!$K$3:$K$7</definedName>
    <definedName name="NK">[2]Lists!$K$3:$K$7</definedName>
    <definedName name="NK_Explanation" localSheetId="0">[1]Lists!#REF!</definedName>
    <definedName name="NK_Explanation" localSheetId="26">[1]Lists!#REF!</definedName>
    <definedName name="NK_Explanation" localSheetId="8">[2]Lists!#REF!</definedName>
    <definedName name="NK_Explanation" localSheetId="10">[1]Lists!#REF!</definedName>
    <definedName name="NK_Explanation" localSheetId="5">[2]Lists!#REF!</definedName>
    <definedName name="NK_Explanation" localSheetId="19">[1]Lists!#REF!</definedName>
    <definedName name="NK_Explanation" localSheetId="6">[2]Lists!#REF!</definedName>
    <definedName name="NK_Explanation">[1]Lists!#REF!</definedName>
    <definedName name="NK_Justification" localSheetId="0">[1]Lists!#REF!</definedName>
    <definedName name="NK_Justification" localSheetId="26">[1]Lists!#REF!</definedName>
    <definedName name="NK_Justification" localSheetId="8">[2]Lists!#REF!</definedName>
    <definedName name="NK_Justification" localSheetId="10">[1]Lists!#REF!</definedName>
    <definedName name="NK_Justification" localSheetId="5">[2]Lists!#REF!</definedName>
    <definedName name="NK_Justification" localSheetId="6">[2]Lists!#REF!</definedName>
    <definedName name="NK_Justification">[1]Lists!#REF!</definedName>
    <definedName name="OLE_LINK1" localSheetId="13">'III.4 Wastewater'!$D$17</definedName>
    <definedName name="Organic_Waste" localSheetId="0">[5]Lists!$AO$3:$AO$9</definedName>
    <definedName name="Organic_Waste" localSheetId="26">[1]Lists!$AO$3:$AO$9</definedName>
    <definedName name="Organic_Waste" localSheetId="10">[1]Lists!$AO$3:$AO$9</definedName>
    <definedName name="Organic_Waste" localSheetId="11">[1]Lists!$AO$3:$AO$9</definedName>
    <definedName name="Organic_Waste" localSheetId="13">[1]Lists!$AO$3:$AO$9</definedName>
    <definedName name="Organic_Waste" localSheetId="19">[1]Lists!$AO$3:$AO$9</definedName>
    <definedName name="Organic_Waste">[2]Lists!$AO$3:$AO$9</definedName>
    <definedName name="Other" localSheetId="0">[1]Lists!#REF!</definedName>
    <definedName name="Other" localSheetId="26">[1]Lists!#REF!</definedName>
    <definedName name="Other" localSheetId="8">[2]Lists!#REF!</definedName>
    <definedName name="Other" localSheetId="10">[1]Lists!#REF!</definedName>
    <definedName name="Other" localSheetId="5">[2]Lists!#REF!</definedName>
    <definedName name="Other" localSheetId="19">[1]Lists!#REF!</definedName>
    <definedName name="Other" localSheetId="6">[2]Lists!#REF!</definedName>
    <definedName name="Other">[1]Lists!#REF!</definedName>
    <definedName name="Other_scope_3" localSheetId="0">[1]Lists!#REF!</definedName>
    <definedName name="Other_scope_3" localSheetId="26">[1]Lists!#REF!</definedName>
    <definedName name="Other_scope_3" localSheetId="8">[2]Lists!#REF!</definedName>
    <definedName name="Other_scope_3" localSheetId="10">[1]Lists!#REF!</definedName>
    <definedName name="Other_scope_3" localSheetId="5">[2]Lists!#REF!</definedName>
    <definedName name="Other_scope_3" localSheetId="6">[2]Lists!#REF!</definedName>
    <definedName name="Other_scope_3">[1]Lists!#REF!</definedName>
    <definedName name="Percentage" localSheetId="0">[3]Dropdown!$A$2:$A$22</definedName>
    <definedName name="Percentage" localSheetId="26">[4]Dropdown!$A$2:$A$22</definedName>
    <definedName name="Percentage" localSheetId="10">[4]Dropdown!$A$2:$A$22</definedName>
    <definedName name="Percentage" localSheetId="11">[4]Dropdown!$A$2:$A$22</definedName>
    <definedName name="Percentage" localSheetId="13">[4]Dropdown!$A$2:$A$22</definedName>
    <definedName name="Percentage" localSheetId="19">[4]Dropdown!$A$2:$A$22</definedName>
    <definedName name="Percentage">[4]Dropdown!$A$2:$A$22</definedName>
    <definedName name="phenol"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_xlnm.Print_Area" localSheetId="7">'I.Stationary Energy'!$A$1:$Q$82</definedName>
    <definedName name="_xlnm.Print_Area" localSheetId="2">'Overview Result'!$A$1:$O$64</definedName>
    <definedName name="_xlnm.Print_Area" localSheetId="3">'Summary Result'!$A$1:$L$36</definedName>
    <definedName name="_xlnm.Print_Titles" localSheetId="7">'I.Stationary Energy'!$1:$8</definedName>
    <definedName name="_xlnm.Print_Titles" localSheetId="8">II.Transportation!$1:$7</definedName>
    <definedName name="Product_use" localSheetId="26">[1]Lists!#REF!</definedName>
    <definedName name="Product_use" localSheetId="8">[2]Lists!#REF!</definedName>
    <definedName name="Product_use" localSheetId="10">[1]Lists!#REF!</definedName>
    <definedName name="Product_use" localSheetId="5">[2]Lists!#REF!</definedName>
    <definedName name="Product_use" localSheetId="6">[2]Lists!#REF!</definedName>
    <definedName name="Product_use">[1]Lists!#REF!</definedName>
    <definedName name="Rail" localSheetId="0">[5]Lists!$Z$3:$Z$13</definedName>
    <definedName name="Rail" localSheetId="26">[1]Lists!$Z$3:$Z$13</definedName>
    <definedName name="Rail" localSheetId="10">[1]Lists!$Z$3:$Z$13</definedName>
    <definedName name="Rail" localSheetId="11">[1]Lists!$Z$3:$Z$13</definedName>
    <definedName name="Rail" localSheetId="13">[1]Lists!$Z$3:$Z$13</definedName>
    <definedName name="Rail" localSheetId="19">[1]Lists!$Z$3:$Z$13</definedName>
    <definedName name="Rail">[2]Lists!$Z$3:$Z$13</definedName>
    <definedName name="Regional_data">[16]Defaults!$W$8:$AH$26</definedName>
    <definedName name="ReportingPeriod" localSheetId="0">[5]Lists!$BA$3:$BA$7</definedName>
    <definedName name="ReportingPeriod" localSheetId="26">[1]Lists!$BA$3:$BA$7</definedName>
    <definedName name="ReportingPeriod" localSheetId="10">[1]Lists!$BA$3:$BA$7</definedName>
    <definedName name="ReportingPeriod" localSheetId="11">[1]Lists!$BA$3:$BA$7</definedName>
    <definedName name="ReportingPeriod" localSheetId="13">[1]Lists!$BA$3:$BA$7</definedName>
    <definedName name="ReportingPeriod" localSheetId="19">[1]Lists!$BA$3:$BA$7</definedName>
    <definedName name="ReportingPeriod">[2]Lists!$BA$3:$BA$7</definedName>
    <definedName name="Road" localSheetId="0">[5]Lists!$X$3:$X$27</definedName>
    <definedName name="Road" localSheetId="26">[1]Lists!$X$3:$X$27</definedName>
    <definedName name="Road" localSheetId="10">[1]Lists!$X$3:$X$27</definedName>
    <definedName name="Road" localSheetId="11">[1]Lists!$X$3:$X$27</definedName>
    <definedName name="Road" localSheetId="13">[1]Lists!$X$3:$X$27</definedName>
    <definedName name="Road" localSheetId="19">[1]Lists!$X$3:$X$27</definedName>
    <definedName name="Road">[2]Lists!$X$3:$X$27</definedName>
    <definedName name="rto_urea_46_0_rice" localSheetId="0">[3]EF!$BJ$6</definedName>
    <definedName name="rto_urea_46_0_rice" localSheetId="26">[4]EF!$BJ$6</definedName>
    <definedName name="rto_urea_46_0_rice" localSheetId="10">[4]EF!$BJ$6</definedName>
    <definedName name="rto_urea_46_0_rice" localSheetId="11">[4]EF!$BJ$6</definedName>
    <definedName name="rto_urea_46_0_rice" localSheetId="13">[4]EF!$BJ$6</definedName>
    <definedName name="rto_urea_46_0_rice" localSheetId="19">[4]EF!$BJ$6</definedName>
    <definedName name="rto_urea_46_0_rice">[4]EF!$BJ$6</definedName>
    <definedName name="Scale" localSheetId="0">[5]Lists!$BC$3:$BC$10</definedName>
    <definedName name="Scale" localSheetId="26">[1]Lists!$BC$3:$BC$10</definedName>
    <definedName name="Scale" localSheetId="10">[1]Lists!$BC$3:$BC$10</definedName>
    <definedName name="Scale" localSheetId="11">[1]Lists!$BC$3:$BC$10</definedName>
    <definedName name="Scale" localSheetId="13">[1]Lists!$BC$3:$BC$10</definedName>
    <definedName name="Scale" localSheetId="19">[1]Lists!$BC$3:$BC$10</definedName>
    <definedName name="Scale">[2]Lists!$BC$3:$BC$10</definedName>
    <definedName name="SCOPE3" localSheetId="0">[5]Lists!$AZ$3:$AZ$9</definedName>
    <definedName name="SCOPE3" localSheetId="26">[1]Lists!$AZ$3:$AZ$9</definedName>
    <definedName name="SCOPE3" localSheetId="10">[1]Lists!$AZ$3:$AZ$9</definedName>
    <definedName name="SCOPE3" localSheetId="11">[1]Lists!$AZ$3:$AZ$9</definedName>
    <definedName name="SCOPE3" localSheetId="13">[1]Lists!$AZ$3:$AZ$9</definedName>
    <definedName name="SCOPE3" localSheetId="19">[1]Lists!$AZ$3:$AZ$9</definedName>
    <definedName name="SCOPE3">[2]Lists!$AZ$3:$AZ$9</definedName>
    <definedName name="Select2">[16]Defaults!$O$20</definedName>
    <definedName name="Select3">[16]Defaults!$W$5</definedName>
    <definedName name="selected">[16]Defaults!$G$17</definedName>
    <definedName name="Site" localSheetId="0">[3]Dropdown!$O$2:$O$3</definedName>
    <definedName name="Site" localSheetId="26">[4]Dropdown!$O$2:$O$3</definedName>
    <definedName name="Site" localSheetId="10">[4]Dropdown!$O$2:$O$3</definedName>
    <definedName name="Site" localSheetId="11">[4]Dropdown!$O$2:$O$3</definedName>
    <definedName name="Site" localSheetId="13">[4]Dropdown!$O$2:$O$3</definedName>
    <definedName name="Site" localSheetId="19">[4]Dropdown!$O$2:$O$3</definedName>
    <definedName name="Site">[4]Dropdown!$O$2:$O$3</definedName>
    <definedName name="Solid_Waste" localSheetId="0">[5]Lists!$AF$3:$AF$9</definedName>
    <definedName name="Solid_Waste" localSheetId="26">[1]Lists!$AF$3:$AF$9</definedName>
    <definedName name="Solid_Waste" localSheetId="10">[1]Lists!$AF$3:$AF$9</definedName>
    <definedName name="Solid_Waste" localSheetId="11">[1]Lists!$AF$3:$AF$9</definedName>
    <definedName name="Solid_Waste" localSheetId="13">[1]Lists!$AF$3:$AF$9</definedName>
    <definedName name="Solid_Waste" localSheetId="19">[1]Lists!$AF$3:$AF$9</definedName>
    <definedName name="Solid_Waste">[2]Lists!$AF$3:$AF$9</definedName>
    <definedName name="Stationary" localSheetId="0">[1]Lists!#REF!</definedName>
    <definedName name="Stationary" localSheetId="26">[1]Lists!#REF!</definedName>
    <definedName name="Stationary" localSheetId="8">[2]Lists!#REF!</definedName>
    <definedName name="Stationary" localSheetId="10">[1]Lists!#REF!</definedName>
    <definedName name="Stationary" localSheetId="5">[2]Lists!#REF!</definedName>
    <definedName name="Stationary" localSheetId="19">[1]Lists!#REF!</definedName>
    <definedName name="Stationary" localSheetId="6">[2]Lists!#REF!</definedName>
    <definedName name="Stationary">[1]Lists!#REF!</definedName>
    <definedName name="Table_BiomassValue" localSheetId="0">[13]EF!$BM$5:$BQ$15</definedName>
    <definedName name="Table_BiomassValue" localSheetId="26">[14]EF!$BM$5:$BQ$15</definedName>
    <definedName name="Table_BiomassValue" localSheetId="10">[14]EF!$BM$5:$BQ$15</definedName>
    <definedName name="Table_BiomassValue" localSheetId="11">[14]EF!$BM$5:$BQ$15</definedName>
    <definedName name="Table_BiomassValue" localSheetId="13">[14]EF!$BM$5:$BQ$15</definedName>
    <definedName name="Table_BiomassValue" localSheetId="19">[14]EF!$BM$5:$BQ$15</definedName>
    <definedName name="Table_BiomassValue">[15]EF!$BM$5:$BQ$15</definedName>
    <definedName name="Table_HH_Consumption_S" localSheetId="0">[17]ค่าใช้จ่ายพลังงานครัวเรือน!$D$33:$M$40</definedName>
    <definedName name="Table_HH_Consumption_S" localSheetId="26">[18]ค่าใช้จ่ายพลังงานครัวเรือน!$D$33:$M$40</definedName>
    <definedName name="Table_HH_Consumption_S" localSheetId="10">[18]ค่าใช้จ่ายพลังงานครัวเรือน!$D$33:$M$40</definedName>
    <definedName name="Table_HH_Consumption_S" localSheetId="11">[18]ค่าใช้จ่ายพลังงานครัวเรือน!$D$33:$M$40</definedName>
    <definedName name="Table_HH_Consumption_S" localSheetId="13">[18]ค่าใช้จ่ายพลังงานครัวเรือน!$D$33:$M$40</definedName>
    <definedName name="Table_HH_Consumption_S" localSheetId="19">[18]ค่าใช้จ่ายพลังงานครัวเรือน!$D$33:$M$40</definedName>
    <definedName name="Table_HH_Consumption_S">[18]ค่าใช้จ่ายพลังงานครัวเรือน!$D$33:$M$40</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esttableallsheet">#REF!</definedName>
    <definedName name="Tick" localSheetId="0">[5]Lists!$BD$3:$BD$4</definedName>
    <definedName name="Tick" localSheetId="26">[1]Lists!$BD$3:$BD$4</definedName>
    <definedName name="Tick" localSheetId="10">[1]Lists!$BD$3:$BD$4</definedName>
    <definedName name="Tick" localSheetId="11">[1]Lists!$BD$3:$BD$4</definedName>
    <definedName name="Tick" localSheetId="13">[1]Lists!$BD$3:$BD$4</definedName>
    <definedName name="Tick" localSheetId="19">[1]Lists!$BD$3:$BD$4</definedName>
    <definedName name="Tick">[2]Lists!$BD$3:$BD$4</definedName>
    <definedName name="Transportation" localSheetId="0">[1]Lists!#REF!</definedName>
    <definedName name="Transportation" localSheetId="26">[1]Lists!#REF!</definedName>
    <definedName name="Transportation" localSheetId="8">[2]Lists!#REF!</definedName>
    <definedName name="Transportation" localSheetId="10">[1]Lists!#REF!</definedName>
    <definedName name="Transportation" localSheetId="5">[2]Lists!#REF!</definedName>
    <definedName name="Transportation" localSheetId="19">[1]Lists!#REF!</definedName>
    <definedName name="Transportation" localSheetId="6">[2]Lists!#REF!</definedName>
    <definedName name="Transportation">[1]Lists!#REF!</definedName>
    <definedName name="TypeOfEnergy" localSheetId="0">[13]Dropdown!$E$2:$E$13</definedName>
    <definedName name="TypeOfEnergy" localSheetId="26">[14]Dropdown!$E$2:$E$13</definedName>
    <definedName name="TypeOfEnergy" localSheetId="10">[14]Dropdown!$E$2:$E$13</definedName>
    <definedName name="TypeOfEnergy" localSheetId="11">[14]Dropdown!$E$2:$E$13</definedName>
    <definedName name="TypeOfEnergy" localSheetId="13">[14]Dropdown!$E$2:$E$13</definedName>
    <definedName name="TypeOfEnergy" localSheetId="19">[14]Dropdown!$E$2:$E$13</definedName>
    <definedName name="TypeOfEnergy">[15]Dropdown!$E$2:$E$13</definedName>
    <definedName name="UnitOfElec" localSheetId="0">[13]Dropdown!$G$2:$G$4</definedName>
    <definedName name="UnitOfElec" localSheetId="26">[14]Dropdown!$G$2:$G$4</definedName>
    <definedName name="UnitOfElec" localSheetId="10">[14]Dropdown!$G$2:$G$4</definedName>
    <definedName name="UnitOfElec" localSheetId="11">[14]Dropdown!$G$2:$G$4</definedName>
    <definedName name="UnitOfElec" localSheetId="13">[14]Dropdown!$G$2:$G$4</definedName>
    <definedName name="UnitOfElec" localSheetId="19">[14]Dropdown!$G$2:$G$4</definedName>
    <definedName name="UnitOfElec">[15]Dropdown!$G$2:$G$4</definedName>
    <definedName name="UnitOfEnergy" localSheetId="0">[3]Dropdown!$I$2:$I$8</definedName>
    <definedName name="UnitOfEnergy" localSheetId="26">[4]Dropdown!$I$2:$I$8</definedName>
    <definedName name="UnitOfEnergy" localSheetId="10">[4]Dropdown!$I$2:$I$8</definedName>
    <definedName name="UnitOfEnergy" localSheetId="11">[4]Dropdown!$I$2:$I$8</definedName>
    <definedName name="UnitOfEnergy" localSheetId="13">[4]Dropdown!$I$2:$I$8</definedName>
    <definedName name="UnitOfEnergy" localSheetId="19">[4]Dropdown!$I$2:$I$8</definedName>
    <definedName name="UnitOfEnergy">[4]Dropdown!$I$2:$I$8</definedName>
    <definedName name="Waste" localSheetId="0">[5]Lists!$AN$3:$AN$9</definedName>
    <definedName name="Waste" localSheetId="26">[1]Lists!$AN$3:$AN$9</definedName>
    <definedName name="Waste" localSheetId="10">[1]Lists!$AN$3:$AN$9</definedName>
    <definedName name="Waste" localSheetId="11">[1]Lists!$AN$3:$AN$9</definedName>
    <definedName name="Waste" localSheetId="13">[1]Lists!$AN$3:$AN$9</definedName>
    <definedName name="Waste" localSheetId="19">[1]Lists!$AN$3:$AN$9</definedName>
    <definedName name="Waste">[2]Lists!$AN$3:$AN$9</definedName>
    <definedName name="WasteComposition" localSheetId="0">[3]Dropdown!$S$2:$S$5</definedName>
    <definedName name="WasteComposition" localSheetId="26">[4]Dropdown!$S$2:$S$5</definedName>
    <definedName name="WasteComposition" localSheetId="10">[4]Dropdown!$S$2:$S$5</definedName>
    <definedName name="WasteComposition" localSheetId="11">[4]Dropdown!$S$2:$S$5</definedName>
    <definedName name="WasteComposition" localSheetId="13">[4]Dropdown!$S$2:$S$5</definedName>
    <definedName name="WasteComposition" localSheetId="19">[4]Dropdown!$S$2:$S$5</definedName>
    <definedName name="WasteComposition">[4]Dropdown!$S$2:$S$5</definedName>
    <definedName name="WasteManangement" localSheetId="0">[3]Dropdown!$Q$2:$Q$3</definedName>
    <definedName name="WasteManangement" localSheetId="26">[4]Dropdown!$Q$2:$Q$3</definedName>
    <definedName name="WasteManangement" localSheetId="10">[4]Dropdown!$Q$2:$Q$3</definedName>
    <definedName name="WasteManangement" localSheetId="11">[4]Dropdown!$Q$2:$Q$3</definedName>
    <definedName name="WasteManangement" localSheetId="13">[4]Dropdown!$Q$2:$Q$3</definedName>
    <definedName name="WasteManangement" localSheetId="19">[4]Dropdown!$Q$2:$Q$3</definedName>
    <definedName name="WasteManangement">[4]Dropdown!$Q$2:$Q$3</definedName>
    <definedName name="WasteOwner" localSheetId="0">[3]Dropdown!$M$2:$M$3</definedName>
    <definedName name="WasteOwner" localSheetId="26">[4]Dropdown!$M$2:$M$3</definedName>
    <definedName name="WasteOwner" localSheetId="10">[4]Dropdown!$M$2:$M$3</definedName>
    <definedName name="WasteOwner" localSheetId="11">[4]Dropdown!$M$2:$M$3</definedName>
    <definedName name="WasteOwner" localSheetId="13">[4]Dropdown!$M$2:$M$3</definedName>
    <definedName name="WasteOwner" localSheetId="19">[4]Dropdown!$M$2:$M$3</definedName>
    <definedName name="WasteOwner">[4]Dropdown!$M$2:$M$3</definedName>
    <definedName name="Wastewater" localSheetId="0">[5]Lists!$AL$3:$AL$7</definedName>
    <definedName name="Wastewater" localSheetId="26">[1]Lists!$AL$3:$AL$7</definedName>
    <definedName name="Wastewater" localSheetId="10">[1]Lists!$AL$3:$AL$7</definedName>
    <definedName name="Wastewater" localSheetId="11">[1]Lists!$AL$3:$AL$7</definedName>
    <definedName name="Wastewater" localSheetId="13">[1]Lists!$AL$3:$AL$7</definedName>
    <definedName name="Wastewater" localSheetId="19">[1]Lists!$AL$3:$AL$7</definedName>
    <definedName name="Wastewater">[2]Lists!$AL$3:$AL$7</definedName>
    <definedName name="Water" localSheetId="0">[5]Lists!$AB$3:$AB$27</definedName>
    <definedName name="Water" localSheetId="26">[1]Lists!$AB$3:$AB$27</definedName>
    <definedName name="Water" localSheetId="10">[1]Lists!$AB$3:$AB$27</definedName>
    <definedName name="Water" localSheetId="11">[1]Lists!$AB$3:$AB$27</definedName>
    <definedName name="Water" localSheetId="13">[1]Lists!$AB$3:$AB$27</definedName>
    <definedName name="Water" localSheetId="19">[1]Lists!$AB$3:$AB$27</definedName>
    <definedName name="Water">[2]Lists!$AB$3:$AB$27</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Year" localSheetId="0">[17]Info!$F$5</definedName>
    <definedName name="Year" localSheetId="26">[18]Info!$F$5</definedName>
    <definedName name="Year" localSheetId="10">[18]Info!$F$5</definedName>
    <definedName name="Year" localSheetId="11">[18]Info!$F$5</definedName>
    <definedName name="Year" localSheetId="13">[18]Info!$F$5</definedName>
    <definedName name="Year" localSheetId="19">[18]Info!$F$5</definedName>
    <definedName name="Year">[18]Info!$F$5</definedName>
    <definedName name="Year_HH_Consumption" localSheetId="0">[17]ค่าใช้จ่ายพลังงานครัวเรือน!$D$4:$M$4</definedName>
    <definedName name="Year_HH_Consumption" localSheetId="26">[18]ค่าใช้จ่ายพลังงานครัวเรือน!$D$4:$M$4</definedName>
    <definedName name="Year_HH_Consumption" localSheetId="10">[18]ค่าใช้จ่ายพลังงานครัวเรือน!$D$4:$M$4</definedName>
    <definedName name="Year_HH_Consumption" localSheetId="11">[18]ค่าใช้จ่ายพลังงานครัวเรือน!$D$4:$M$4</definedName>
    <definedName name="Year_HH_Consumption" localSheetId="13">[18]ค่าใช้จ่ายพลังงานครัวเรือน!$D$4:$M$4</definedName>
    <definedName name="Year_HH_Consumption" localSheetId="19">[18]ค่าใช้จ่ายพลังงานครัวเรือน!$D$4:$M$4</definedName>
    <definedName name="Year_HH_Consumption">[18]ค่าใช้จ่ายพลังงานครัวเรือน!$D$4:$M$4</definedName>
    <definedName name="การใช้พลังงานในธุรกิจการค้า" localSheetId="0">[13]การใช้พลังงานในธุรกิจการค้า!$D$13:$K$17</definedName>
    <definedName name="การใช้พลังงานในธุรกิจการค้า" localSheetId="26">[14]การใช้พลังงานในธุรกิจการค้า!$D$13:$K$17</definedName>
    <definedName name="การใช้พลังงานในธุรกิจการค้า" localSheetId="10">[14]การใช้พลังงานในธุรกิจการค้า!$D$13:$K$17</definedName>
    <definedName name="การใช้พลังงานในธุรกิจการค้า" localSheetId="11">[14]การใช้พลังงานในธุรกิจการค้า!$D$13:$K$17</definedName>
    <definedName name="การใช้พลังงานในธุรกิจการค้า" localSheetId="13">[14]การใช้พลังงานในธุรกิจการค้า!$D$13:$K$17</definedName>
    <definedName name="การใช้พลังงานในธุรกิจการค้า" localSheetId="19">[14]การใช้พลังงานในธุรกิจการค้า!$D$13:$K$17</definedName>
    <definedName name="การใช้พลังงานในธุรกิจการค้า">[15]การใช้พลังงานในธุรกิจการค้า!$D$13:$K$17</definedName>
    <definedName name="จำนวนอุตสาหกรรมการผลิต" localSheetId="0">[13]จำนวนอุตสาหกรรมการผลิต!$D$3:$S$65</definedName>
    <definedName name="จำนวนอุตสาหกรรมการผลิต" localSheetId="26">[14]จำนวนอุตสาหกรรมการผลิต!$D$3:$S$65</definedName>
    <definedName name="จำนวนอุตสาหกรรมการผลิต" localSheetId="10">[14]จำนวนอุตสาหกรรมการผลิต!$D$3:$S$65</definedName>
    <definedName name="จำนวนอุตสาหกรรมการผลิต" localSheetId="11">[14]จำนวนอุตสาหกรรมการผลิต!$D$3:$S$65</definedName>
    <definedName name="จำนวนอุตสาหกรรมการผลิต" localSheetId="13">[14]จำนวนอุตสาหกรรมการผลิต!$D$3:$S$65</definedName>
    <definedName name="จำนวนอุตสาหกรรมการผลิต" localSheetId="19">[14]จำนวนอุตสาหกรรมการผลิต!$D$3:$S$65</definedName>
    <definedName name="จำนวนอุตสาหกรรมการผลิต">[15]จำนวนอุตสาหกรรมการผลิต!$D$3:$S$65</definedName>
    <definedName name="ตาราง_GWP" localSheetId="0">[13]GWP!$C$6:$F$24</definedName>
    <definedName name="ตาราง_GWP" localSheetId="26">[14]GWP!$C$6:$F$24</definedName>
    <definedName name="ตาราง_GWP" localSheetId="10">[14]GWP!$C$6:$F$24</definedName>
    <definedName name="ตาราง_GWP" localSheetId="11">[14]GWP!$C$6:$F$24</definedName>
    <definedName name="ตาราง_GWP" localSheetId="13">[14]GWP!$C$6:$F$24</definedName>
    <definedName name="ตาราง_GWP" localSheetId="19">[14]GWP!$C$6:$F$24</definedName>
    <definedName name="ตาราง_GWP">[15]GWP!$C$6:$F$24</definedName>
    <definedName name="ตารางการใช้พลังงานอุตสาหกรรม" localSheetId="0">[13]การใช้พลังงานในอุตสาหกรรม!$E$4:$O$27</definedName>
    <definedName name="ตารางการใช้พลังงานอุตสาหกรรม" localSheetId="26">[14]การใช้พลังงานในอุตสาหกรรม!$E$4:$O$27</definedName>
    <definedName name="ตารางการใช้พลังงานอุตสาหกรรม" localSheetId="10">[14]การใช้พลังงานในอุตสาหกรรม!$E$4:$O$27</definedName>
    <definedName name="ตารางการใช้พลังงานอุตสาหกรรม" localSheetId="11">[14]การใช้พลังงานในอุตสาหกรรม!$E$4:$O$27</definedName>
    <definedName name="ตารางการใช้พลังงานอุตสาหกรรม" localSheetId="13">[14]การใช้พลังงานในอุตสาหกรรม!$E$4:$O$27</definedName>
    <definedName name="ตารางการใช้พลังงานอุตสาหกรรม" localSheetId="19">[14]การใช้พลังงานในอุตสาหกรรม!$E$4:$O$27</definedName>
    <definedName name="ตารางการใช้พลังงานอุตสาหกรรม">[15]การใช้พลังงานในอุตสาหกรรม!$E$4:$O$27</definedName>
    <definedName name="ตารางจำนวนธุรกิจการค้า" localSheetId="0">[13]จำนวนธุรกิจการค้า!$D$3:$P$74</definedName>
    <definedName name="ตารางจำนวนธุรกิจการค้า" localSheetId="26">[14]จำนวนธุรกิจการค้า!$D$3:$P$74</definedName>
    <definedName name="ตารางจำนวนธุรกิจการค้า" localSheetId="10">[14]จำนวนธุรกิจการค้า!$D$3:$P$74</definedName>
    <definedName name="ตารางจำนวนธุรกิจการค้า" localSheetId="11">[14]จำนวนธุรกิจการค้า!$D$3:$P$74</definedName>
    <definedName name="ตารางจำนวนธุรกิจการค้า" localSheetId="13">[14]จำนวนธุรกิจการค้า!$D$3:$P$74</definedName>
    <definedName name="ตารางจำนวนธุรกิจการค้า" localSheetId="19">[14]จำนวนธุรกิจการค้า!$D$3:$P$74</definedName>
    <definedName name="ตารางจำนวนธุรกิจการค้า">[15]จำนวนธุรกิจการค้า!$D$3:$P$74</definedName>
    <definedName name="ตารางราคาเชื้อเพลิง" localSheetId="0">[17]ราคาเชื้อเพลิง!$F$4:$R$18</definedName>
    <definedName name="ตารางราคาเชื้อเพลิง" localSheetId="26">[18]ราคาเชื้อเพลิง!$F$4:$R$18</definedName>
    <definedName name="ตารางราคาเชื้อเพลิง" localSheetId="10">[18]ราคาเชื้อเพลิง!$F$4:$R$18</definedName>
    <definedName name="ตารางราคาเชื้อเพลิง" localSheetId="11">[18]ราคาเชื้อเพลิง!$F$4:$R$18</definedName>
    <definedName name="ตารางราคาเชื้อเพลิง" localSheetId="13">[18]ราคาเชื้อเพลิง!$F$4:$R$18</definedName>
    <definedName name="ตารางราคาเชื้อเพลิง" localSheetId="19">[18]ราคาเชื้อเพลิง!$F$4:$R$18</definedName>
    <definedName name="ตารางราคาเชื้อเพลิง">[18]ราคาเชื้อเพลิง!$F$4:$R$18</definedName>
    <definedName name="ประเภทพลังงานในภาคธุรกิจการค้า" localSheetId="0">[13]การใช้พลังงานในธุรกิจการค้า!$B$13:$B$17</definedName>
    <definedName name="ประเภทพลังงานในภาคธุรกิจการค้า" localSheetId="26">[14]การใช้พลังงานในธุรกิจการค้า!$B$13:$B$17</definedName>
    <definedName name="ประเภทพลังงานในภาคธุรกิจการค้า" localSheetId="10">[14]การใช้พลังงานในธุรกิจการค้า!$B$13:$B$17</definedName>
    <definedName name="ประเภทพลังงานในภาคธุรกิจการค้า" localSheetId="11">[14]การใช้พลังงานในธุรกิจการค้า!$B$13:$B$17</definedName>
    <definedName name="ประเภทพลังงานในภาคธุรกิจการค้า" localSheetId="13">[14]การใช้พลังงานในธุรกิจการค้า!$B$13:$B$17</definedName>
    <definedName name="ประเภทพลังงานในภาคธุรกิจการค้า" localSheetId="19">[14]การใช้พลังงานในธุรกิจการค้า!$B$13:$B$17</definedName>
    <definedName name="ประเภทพลังงานในภาคธุรกิจการค้า">[15]การใช้พลังงานในธุรกิจการค้า!$B$13:$B$17</definedName>
    <definedName name="ประเภทพลังงานในอุตสาหกรรม" localSheetId="0">[13]การใช้พลังงานในอุตสาหกรรม!$C$4:$C$27</definedName>
    <definedName name="ประเภทพลังงานในอุตสาหกรรม" localSheetId="26">[14]การใช้พลังงานในอุตสาหกรรม!$C$4:$C$27</definedName>
    <definedName name="ประเภทพลังงานในอุตสาหกรรม" localSheetId="10">[14]การใช้พลังงานในอุตสาหกรรม!$C$4:$C$27</definedName>
    <definedName name="ประเภทพลังงานในอุตสาหกรรม" localSheetId="11">[14]การใช้พลังงานในอุตสาหกรรม!$C$4:$C$27</definedName>
    <definedName name="ประเภทพลังงานในอุตสาหกรรม" localSheetId="13">[14]การใช้พลังงานในอุตสาหกรรม!$C$4:$C$27</definedName>
    <definedName name="ประเภทพลังงานในอุตสาหกรรม" localSheetId="19">[14]การใช้พลังงานในอุตสาหกรรม!$C$4:$C$27</definedName>
    <definedName name="ประเภทพลังงานในอุตสาหกรรม">[15]การใช้พลังงานในอุตสาหกรรม!$C$4:$C$27</definedName>
    <definedName name="ปีการใช้พลังงานในภาคธุรกิจการค้า" localSheetId="0">[13]การใช้พลังงานในธุรกิจการค้า!$D$12:$K$12</definedName>
    <definedName name="ปีการใช้พลังงานในภาคธุรกิจการค้า" localSheetId="26">[14]การใช้พลังงานในธุรกิจการค้า!$D$12:$K$12</definedName>
    <definedName name="ปีการใช้พลังงานในภาคธุรกิจการค้า" localSheetId="10">[14]การใช้พลังงานในธุรกิจการค้า!$D$12:$K$12</definedName>
    <definedName name="ปีการใช้พลังงานในภาคธุรกิจการค้า" localSheetId="11">[14]การใช้พลังงานในธุรกิจการค้า!$D$12:$K$12</definedName>
    <definedName name="ปีการใช้พลังงานในภาคธุรกิจการค้า" localSheetId="13">[14]การใช้พลังงานในธุรกิจการค้า!$D$12:$K$12</definedName>
    <definedName name="ปีการใช้พลังงานในภาคธุรกิจการค้า" localSheetId="19">[14]การใช้พลังงานในธุรกิจการค้า!$D$12:$K$12</definedName>
    <definedName name="ปีการใช้พลังงานในภาคธุรกิจการค้า">[15]การใช้พลังงานในธุรกิจการค้า!$D$12:$K$12</definedName>
    <definedName name="ปีการใช้พลังงานอุตสาหกรรม" localSheetId="0">[13]การใช้พลังงานในอุตสาหกรรม!$E$3:$O$3</definedName>
    <definedName name="ปีการใช้พลังงานอุตสาหกรรม" localSheetId="26">[14]การใช้พลังงานในอุตสาหกรรม!$E$3:$O$3</definedName>
    <definedName name="ปีการใช้พลังงานอุตสาหกรรม" localSheetId="10">[14]การใช้พลังงานในอุตสาหกรรม!$E$3:$O$3</definedName>
    <definedName name="ปีการใช้พลังงานอุตสาหกรรม" localSheetId="11">[14]การใช้พลังงานในอุตสาหกรรม!$E$3:$O$3</definedName>
    <definedName name="ปีการใช้พลังงานอุตสาหกรรม" localSheetId="13">[14]การใช้พลังงานในอุตสาหกรรม!$E$3:$O$3</definedName>
    <definedName name="ปีการใช้พลังงานอุตสาหกรรม" localSheetId="19">[14]การใช้พลังงานในอุตสาหกรรม!$E$3:$O$3</definedName>
    <definedName name="ปีการใช้พลังงานอุตสาหกรรม">[15]การใช้พลังงานในอุตสาหกรรม!$E$3:$O$3</definedName>
  </definedNames>
  <calcPr calcId="191029"/>
  <extLs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F11" i="109" l="1"/>
  <c r="C27" i="164" l="1"/>
  <c r="C29" i="164" l="1"/>
  <c r="C32" i="149" l="1"/>
  <c r="C29" i="149"/>
  <c r="C28" i="149"/>
  <c r="C26" i="149"/>
  <c r="E39" i="158" l="1"/>
  <c r="E12" i="149" l="1"/>
  <c r="G48" i="100" l="1"/>
  <c r="I47" i="100"/>
  <c r="E21" i="104" l="1"/>
  <c r="H11" i="109"/>
  <c r="K78" i="109"/>
  <c r="V79" i="109"/>
  <c r="V78" i="109"/>
  <c r="V70" i="109"/>
  <c r="V69" i="109"/>
  <c r="K69" i="109"/>
  <c r="S83" i="109"/>
  <c r="Q83" i="109"/>
  <c r="V82" i="109"/>
  <c r="V81" i="109"/>
  <c r="V80" i="109"/>
  <c r="V83" i="109" l="1"/>
  <c r="S74" i="109"/>
  <c r="Q74" i="109"/>
  <c r="V73" i="109"/>
  <c r="V72" i="109"/>
  <c r="V71" i="109"/>
  <c r="V74" i="109"/>
  <c r="I46" i="100" l="1"/>
  <c r="I45" i="100"/>
  <c r="I44" i="100"/>
  <c r="I43" i="100"/>
  <c r="H47" i="100"/>
  <c r="H46" i="100"/>
  <c r="H45" i="100"/>
  <c r="H44" i="100"/>
  <c r="H43" i="100"/>
  <c r="N47" i="100"/>
  <c r="N46" i="100"/>
  <c r="N45" i="100"/>
  <c r="N44" i="100"/>
  <c r="N43" i="100" l="1"/>
  <c r="E16" i="150" l="1"/>
  <c r="E36" i="150"/>
  <c r="D47" i="101"/>
  <c r="E47" i="101"/>
  <c r="J47" i="101"/>
  <c r="I47" i="101"/>
  <c r="C112" i="101" l="1"/>
  <c r="C115" i="101"/>
  <c r="C26" i="164"/>
  <c r="C24" i="164"/>
  <c r="C25" i="164" l="1"/>
  <c r="C28" i="164"/>
  <c r="C30" i="164"/>
  <c r="C31" i="164"/>
  <c r="C32" i="164"/>
  <c r="C33" i="164"/>
  <c r="E7" i="162"/>
  <c r="D7" i="162"/>
  <c r="C7" i="162"/>
  <c r="K7" i="163"/>
  <c r="J7" i="163"/>
  <c r="I7" i="163"/>
  <c r="H7" i="163"/>
  <c r="G7" i="163"/>
  <c r="F7" i="163"/>
  <c r="R72" i="149"/>
  <c r="R41" i="149"/>
  <c r="R12" i="149"/>
  <c r="M5" i="104"/>
  <c r="L5" i="104"/>
  <c r="K5" i="104"/>
  <c r="J5" i="104"/>
  <c r="M5" i="100"/>
  <c r="L5" i="100"/>
  <c r="K5" i="100"/>
  <c r="J5" i="100"/>
  <c r="J48" i="100" s="1"/>
  <c r="F37" i="168"/>
  <c r="F18" i="167"/>
  <c r="E18" i="167"/>
  <c r="F17" i="167"/>
  <c r="C18" i="167"/>
  <c r="F63" i="159"/>
  <c r="C37" i="111"/>
  <c r="D24" i="155"/>
  <c r="B32" i="97"/>
  <c r="K46" i="163"/>
  <c r="K57" i="163"/>
  <c r="L47" i="100" l="1"/>
  <c r="P47" i="100" s="1"/>
  <c r="L43" i="100"/>
  <c r="P43" i="100" s="1"/>
  <c r="L44" i="100"/>
  <c r="P44" i="100" s="1"/>
  <c r="L45" i="100"/>
  <c r="P45" i="100" s="1"/>
  <c r="L46" i="100"/>
  <c r="P46" i="100" s="1"/>
  <c r="K47" i="100"/>
  <c r="K43" i="100"/>
  <c r="K48" i="100"/>
  <c r="K44" i="100"/>
  <c r="K45" i="100"/>
  <c r="K46" i="100"/>
  <c r="E105" i="163"/>
  <c r="D83" i="151"/>
  <c r="D76" i="151"/>
  <c r="D50" i="151"/>
  <c r="D51" i="151" s="1"/>
  <c r="E34" i="151"/>
  <c r="D34" i="151"/>
  <c r="E157" i="150"/>
  <c r="E127" i="150"/>
  <c r="E105" i="150"/>
  <c r="E75" i="150"/>
  <c r="E53" i="150"/>
  <c r="E23" i="150"/>
  <c r="E24" i="150" s="1"/>
  <c r="E153" i="150"/>
  <c r="E123" i="150"/>
  <c r="E101" i="150"/>
  <c r="E71" i="150"/>
  <c r="E49" i="150"/>
  <c r="E19" i="150"/>
  <c r="E20" i="150" s="1"/>
  <c r="J59" i="132"/>
  <c r="D59" i="132"/>
  <c r="D37" i="132"/>
  <c r="J37" i="132"/>
  <c r="J15" i="132"/>
  <c r="J57" i="132"/>
  <c r="D57" i="132"/>
  <c r="J35" i="132"/>
  <c r="D35" i="132"/>
  <c r="J13" i="132"/>
  <c r="D15" i="132"/>
  <c r="D13" i="132"/>
  <c r="F11" i="158"/>
  <c r="F13" i="158"/>
  <c r="G13" i="158"/>
  <c r="F15" i="158"/>
  <c r="O46" i="100" l="1"/>
  <c r="Q46" i="100" s="1"/>
  <c r="M46" i="100"/>
  <c r="O44" i="100"/>
  <c r="Q44" i="100" s="1"/>
  <c r="M44" i="100"/>
  <c r="O47" i="100"/>
  <c r="Q47" i="100" s="1"/>
  <c r="M47" i="100"/>
  <c r="O45" i="100"/>
  <c r="Q45" i="100" s="1"/>
  <c r="M45" i="100"/>
  <c r="O43" i="100"/>
  <c r="Q43" i="100" s="1"/>
  <c r="M43" i="100"/>
  <c r="E232" i="158"/>
  <c r="E224" i="158" l="1"/>
  <c r="E233" i="158" s="1"/>
  <c r="E108" i="158"/>
  <c r="K100" i="158" l="1"/>
  <c r="E109" i="158"/>
  <c r="F16" i="158" l="1"/>
  <c r="E15" i="167" l="1"/>
  <c r="G14" i="166" l="1"/>
  <c r="H14" i="166" s="1"/>
  <c r="F22" i="151"/>
  <c r="D245" i="163" l="1"/>
  <c r="D95" i="163"/>
  <c r="D35" i="163"/>
  <c r="L77" i="100"/>
  <c r="K78" i="100"/>
  <c r="K77" i="100"/>
  <c r="C119" i="101"/>
  <c r="F21" i="151" l="1"/>
  <c r="F20" i="151"/>
  <c r="F18" i="151"/>
  <c r="C95" i="149"/>
  <c r="C94" i="149"/>
  <c r="H14" i="149"/>
  <c r="D287" i="163" l="1"/>
  <c r="D277" i="163"/>
  <c r="K220" i="158" l="1"/>
  <c r="K219" i="158"/>
  <c r="D230" i="163" l="1"/>
  <c r="E277" i="163"/>
  <c r="D278" i="163"/>
  <c r="J245" i="163"/>
  <c r="K245" i="163" s="1"/>
  <c r="L245" i="163" s="1"/>
  <c r="M245" i="163" s="1"/>
  <c r="E245" i="163"/>
  <c r="J218" i="163"/>
  <c r="K218" i="163" s="1"/>
  <c r="L218" i="163" s="1"/>
  <c r="M218" i="163" s="1"/>
  <c r="D219" i="163" l="1"/>
  <c r="E219" i="163" s="1"/>
  <c r="D218" i="163"/>
  <c r="D220" i="163" l="1"/>
  <c r="E218" i="163"/>
  <c r="E220" i="163" s="1"/>
  <c r="D207" i="163"/>
  <c r="D208" i="163" s="1"/>
  <c r="F174" i="163"/>
  <c r="F175" i="163" s="1"/>
  <c r="J135" i="163"/>
  <c r="K135" i="163" s="1"/>
  <c r="L135" i="163" s="1"/>
  <c r="C125" i="163"/>
  <c r="D125" i="163" s="1"/>
  <c r="D115" i="163"/>
  <c r="D23" i="163"/>
  <c r="C106" i="101" l="1"/>
  <c r="C108" i="101" s="1"/>
  <c r="P23" i="101" l="1"/>
  <c r="H40" i="101" s="1"/>
  <c r="P20" i="101"/>
  <c r="E56" i="104" l="1"/>
  <c r="F31" i="168" l="1"/>
  <c r="F15" i="167"/>
  <c r="G15" i="166"/>
  <c r="G16" i="166" s="1"/>
  <c r="H16" i="166" s="1"/>
  <c r="F59" i="128" s="1"/>
  <c r="D14" i="162" l="1"/>
  <c r="D14" i="163"/>
  <c r="G21" i="165" l="1"/>
  <c r="H27" i="109"/>
  <c r="J244" i="158" l="1"/>
  <c r="K227" i="158"/>
  <c r="J252" i="158" s="1"/>
  <c r="K228" i="158"/>
  <c r="J253" i="158" s="1"/>
  <c r="K229" i="158"/>
  <c r="J254" i="158" s="1"/>
  <c r="K230" i="158"/>
  <c r="J255" i="158" s="1"/>
  <c r="K231" i="158"/>
  <c r="J256" i="158" s="1"/>
  <c r="K226" i="158"/>
  <c r="J251" i="158" s="1"/>
  <c r="J245" i="158"/>
  <c r="K221" i="158"/>
  <c r="J246" i="158" s="1"/>
  <c r="K222" i="158"/>
  <c r="J247" i="158" s="1"/>
  <c r="K223" i="158"/>
  <c r="J248" i="158" s="1"/>
  <c r="I251" i="158"/>
  <c r="I244" i="158"/>
  <c r="C60" i="168"/>
  <c r="D60" i="168"/>
  <c r="C48" i="168"/>
  <c r="D15" i="158"/>
  <c r="O26" i="111"/>
  <c r="O13" i="111"/>
  <c r="N13" i="111"/>
  <c r="J249" i="158" l="1"/>
  <c r="K224" i="158"/>
  <c r="K232" i="158"/>
  <c r="J125" i="158"/>
  <c r="H15" i="168"/>
  <c r="I15" i="168" s="1"/>
  <c r="H19" i="168" l="1"/>
  <c r="E16" i="159"/>
  <c r="G16" i="159" s="1"/>
  <c r="D16" i="159"/>
  <c r="F16" i="159" s="1"/>
  <c r="F17" i="158"/>
  <c r="E24" i="155"/>
  <c r="C32" i="97"/>
  <c r="B33" i="97"/>
  <c r="B34" i="97"/>
  <c r="B35" i="97"/>
  <c r="B36" i="97"/>
  <c r="B37" i="97"/>
  <c r="B38" i="97"/>
  <c r="B39" i="97"/>
  <c r="B40" i="97"/>
  <c r="B41" i="97"/>
  <c r="B42" i="97"/>
  <c r="B43" i="97"/>
  <c r="B44" i="97"/>
  <c r="B45" i="97"/>
  <c r="B46" i="97"/>
  <c r="B47" i="97"/>
  <c r="B48" i="97"/>
  <c r="F38" i="97"/>
  <c r="I8" i="97"/>
  <c r="H8" i="97"/>
  <c r="G8" i="97"/>
  <c r="G9" i="155"/>
  <c r="E100" i="158"/>
  <c r="I19" i="168" l="1"/>
  <c r="I23" i="168" s="1"/>
  <c r="H23" i="168"/>
  <c r="K233" i="158"/>
  <c r="K108" i="158"/>
  <c r="K109" i="158" s="1"/>
  <c r="E306" i="158"/>
  <c r="E303" i="158"/>
  <c r="D291" i="158"/>
  <c r="D288" i="158"/>
  <c r="E272" i="158"/>
  <c r="E269" i="158"/>
  <c r="F14" i="158"/>
  <c r="F12" i="158"/>
  <c r="E38" i="158"/>
  <c r="F10" i="158"/>
  <c r="I120" i="158"/>
  <c r="E75" i="158"/>
  <c r="J72" i="158"/>
  <c r="J71" i="158"/>
  <c r="G12" i="158"/>
  <c r="G10" i="158"/>
  <c r="G11" i="158"/>
  <c r="E171" i="158" l="1"/>
  <c r="H10" i="158"/>
  <c r="D292" i="158"/>
  <c r="E273" i="158"/>
  <c r="J194" i="158"/>
  <c r="B4" i="97"/>
  <c r="E145" i="158" l="1"/>
  <c r="E149" i="158"/>
  <c r="E175" i="158"/>
  <c r="E199" i="158"/>
  <c r="P60" i="97"/>
  <c r="D114" i="163"/>
  <c r="E114" i="163" s="1"/>
  <c r="E34" i="100"/>
  <c r="E15" i="158" l="1"/>
  <c r="G15" i="158" s="1"/>
  <c r="D22" i="162"/>
  <c r="D45" i="151"/>
  <c r="D44" i="151"/>
  <c r="E22" i="162" l="1"/>
  <c r="F51" i="128"/>
  <c r="E14" i="162"/>
  <c r="R10" i="165"/>
  <c r="S10" i="165"/>
  <c r="Q10" i="165"/>
  <c r="G10" i="165"/>
  <c r="H48" i="109" l="1"/>
  <c r="F19" i="151" l="1"/>
  <c r="D70" i="151" l="1"/>
  <c r="D71" i="151"/>
  <c r="F23" i="151" l="1"/>
  <c r="C93" i="149" l="1"/>
  <c r="C63" i="149" l="1"/>
  <c r="B3" i="164" l="1"/>
  <c r="H10" i="165" l="1"/>
  <c r="I10" i="165"/>
  <c r="G11" i="165"/>
  <c r="H11" i="165"/>
  <c r="I11" i="165"/>
  <c r="G12" i="165"/>
  <c r="H12" i="165"/>
  <c r="I12" i="165"/>
  <c r="G13" i="165"/>
  <c r="H13" i="165"/>
  <c r="I13" i="165"/>
  <c r="G14" i="165"/>
  <c r="H14" i="165"/>
  <c r="I14" i="165"/>
  <c r="C4" i="128" l="1"/>
  <c r="H74" i="149" l="1"/>
  <c r="B3" i="162" l="1"/>
  <c r="I20" i="164"/>
  <c r="I74" i="149" l="1"/>
  <c r="B4" i="132" l="1"/>
  <c r="B4" i="149"/>
  <c r="D39" i="151" l="1"/>
  <c r="K80" i="100" l="1"/>
  <c r="B5" i="155" l="1"/>
  <c r="B6" i="166" l="1"/>
  <c r="B5" i="166"/>
  <c r="D46" i="151"/>
  <c r="D265" i="163" l="1"/>
  <c r="C56" i="149"/>
  <c r="C87" i="149"/>
  <c r="B3" i="163" l="1"/>
  <c r="B4" i="151"/>
  <c r="B4" i="150"/>
  <c r="E82" i="150"/>
  <c r="B3" i="165"/>
  <c r="B3" i="109"/>
  <c r="B4" i="159" l="1"/>
  <c r="B4" i="158"/>
  <c r="D136" i="163"/>
  <c r="C4" i="161" l="1"/>
  <c r="B5" i="111"/>
  <c r="H15" i="166" l="1"/>
  <c r="H28" i="165" l="1"/>
  <c r="H30" i="165"/>
  <c r="S11" i="165" l="1"/>
  <c r="S12" i="165"/>
  <c r="S13" i="165"/>
  <c r="S14" i="165"/>
  <c r="S15" i="165"/>
  <c r="S16" i="165"/>
  <c r="S17" i="165"/>
  <c r="S18" i="165"/>
  <c r="S19" i="165"/>
  <c r="S20" i="165"/>
  <c r="S21" i="165"/>
  <c r="S22" i="165"/>
  <c r="S23" i="165"/>
  <c r="S24" i="165"/>
  <c r="S25" i="165"/>
  <c r="S26" i="165"/>
  <c r="S27" i="165"/>
  <c r="S28" i="165"/>
  <c r="S29" i="165"/>
  <c r="S30" i="165"/>
  <c r="S31" i="165"/>
  <c r="S32" i="165"/>
  <c r="S33" i="165"/>
  <c r="S34" i="165"/>
  <c r="S35" i="165"/>
  <c r="S36" i="165"/>
  <c r="S37" i="165"/>
  <c r="S38" i="165"/>
  <c r="S39" i="165"/>
  <c r="S40" i="165"/>
  <c r="S41" i="165"/>
  <c r="S42" i="165"/>
  <c r="S43" i="165"/>
  <c r="S44" i="165"/>
  <c r="S45" i="165"/>
  <c r="S46" i="165"/>
  <c r="S47" i="165"/>
  <c r="S48" i="165"/>
  <c r="S49" i="165"/>
  <c r="S50" i="165"/>
  <c r="S51" i="165"/>
  <c r="S52" i="165"/>
  <c r="S53" i="165"/>
  <c r="S54" i="165"/>
  <c r="S55" i="165"/>
  <c r="S56" i="165"/>
  <c r="S57" i="165"/>
  <c r="S58" i="165"/>
  <c r="S59" i="165"/>
  <c r="S60" i="165"/>
  <c r="S61" i="165"/>
  <c r="S62" i="165"/>
  <c r="S63" i="165"/>
  <c r="S64" i="165"/>
  <c r="S65" i="165"/>
  <c r="S66" i="165"/>
  <c r="S67" i="165"/>
  <c r="S68" i="165"/>
  <c r="S69" i="165"/>
  <c r="S70" i="165"/>
  <c r="S71" i="165"/>
  <c r="S72" i="165"/>
  <c r="S73" i="165"/>
  <c r="S74" i="165"/>
  <c r="S75" i="165"/>
  <c r="S76" i="165"/>
  <c r="S77" i="165"/>
  <c r="S78" i="165"/>
  <c r="S79" i="165"/>
  <c r="R11" i="165"/>
  <c r="R12" i="165"/>
  <c r="R13" i="165"/>
  <c r="R14" i="165"/>
  <c r="R15" i="165"/>
  <c r="R16" i="165"/>
  <c r="R17" i="165"/>
  <c r="R18" i="165"/>
  <c r="R19" i="165"/>
  <c r="R20" i="165"/>
  <c r="R21" i="165"/>
  <c r="R22" i="165"/>
  <c r="R23" i="165"/>
  <c r="R24" i="165"/>
  <c r="R25" i="165"/>
  <c r="R26" i="165"/>
  <c r="R27" i="165"/>
  <c r="R28" i="165"/>
  <c r="R29" i="165"/>
  <c r="R30" i="165"/>
  <c r="R31" i="165"/>
  <c r="R32" i="165"/>
  <c r="R33" i="165"/>
  <c r="R34" i="165"/>
  <c r="R35" i="165"/>
  <c r="R36" i="165"/>
  <c r="R37" i="165"/>
  <c r="R38" i="165"/>
  <c r="R39" i="165"/>
  <c r="R40" i="165"/>
  <c r="R41" i="165"/>
  <c r="R42" i="165"/>
  <c r="R43" i="165"/>
  <c r="R44" i="165"/>
  <c r="R45" i="165"/>
  <c r="R46" i="165"/>
  <c r="R47" i="165"/>
  <c r="R48" i="165"/>
  <c r="R49" i="165"/>
  <c r="R50" i="165"/>
  <c r="R51" i="165"/>
  <c r="R52" i="165"/>
  <c r="R53" i="165"/>
  <c r="R54" i="165"/>
  <c r="R55" i="165"/>
  <c r="R56" i="165"/>
  <c r="R57" i="165"/>
  <c r="R58" i="165"/>
  <c r="R59" i="165"/>
  <c r="R60" i="165"/>
  <c r="R61" i="165"/>
  <c r="R62" i="165"/>
  <c r="R63" i="165"/>
  <c r="R64" i="165"/>
  <c r="R65" i="165"/>
  <c r="R66" i="165"/>
  <c r="R67" i="165"/>
  <c r="R68" i="165"/>
  <c r="R69" i="165"/>
  <c r="R70" i="165"/>
  <c r="R71" i="165"/>
  <c r="R72" i="165"/>
  <c r="R73" i="165"/>
  <c r="R74" i="165"/>
  <c r="R75" i="165"/>
  <c r="R76" i="165"/>
  <c r="R77" i="165"/>
  <c r="R78" i="165"/>
  <c r="R79" i="165"/>
  <c r="H15" i="165"/>
  <c r="H16" i="165"/>
  <c r="H17" i="165"/>
  <c r="H18" i="165"/>
  <c r="H19" i="165"/>
  <c r="H20" i="165"/>
  <c r="H21" i="165"/>
  <c r="H22" i="165"/>
  <c r="H23" i="165"/>
  <c r="H24" i="165"/>
  <c r="H25" i="165"/>
  <c r="H26" i="165"/>
  <c r="H27" i="165"/>
  <c r="H29" i="165"/>
  <c r="H31" i="165"/>
  <c r="H32" i="165"/>
  <c r="H33" i="165"/>
  <c r="H34" i="165"/>
  <c r="H35" i="165"/>
  <c r="H36" i="165"/>
  <c r="H37" i="165"/>
  <c r="H38" i="165"/>
  <c r="H39" i="165"/>
  <c r="H40" i="165"/>
  <c r="H41" i="165"/>
  <c r="H42" i="165"/>
  <c r="H43" i="165"/>
  <c r="H44" i="165"/>
  <c r="H45" i="165"/>
  <c r="H46" i="165"/>
  <c r="H47" i="165"/>
  <c r="H48" i="165"/>
  <c r="H49" i="165"/>
  <c r="H50" i="165"/>
  <c r="H51" i="165"/>
  <c r="H52" i="165"/>
  <c r="H53" i="165"/>
  <c r="H54" i="165"/>
  <c r="H55" i="165"/>
  <c r="H56" i="165"/>
  <c r="H57" i="165"/>
  <c r="H58" i="165"/>
  <c r="H59" i="165"/>
  <c r="H60" i="165"/>
  <c r="H61" i="165"/>
  <c r="H62" i="165"/>
  <c r="H63" i="165"/>
  <c r="H64" i="165"/>
  <c r="H65" i="165"/>
  <c r="H66" i="165"/>
  <c r="H67" i="165"/>
  <c r="H68" i="165"/>
  <c r="H69" i="165"/>
  <c r="H70" i="165"/>
  <c r="H71" i="165"/>
  <c r="H72" i="165"/>
  <c r="H73" i="165"/>
  <c r="D38" i="151" l="1"/>
  <c r="D41" i="151" s="1"/>
  <c r="D144" i="163" l="1"/>
  <c r="K82" i="100" l="1"/>
  <c r="K81" i="100"/>
  <c r="K79" i="100"/>
  <c r="K69" i="100" l="1"/>
  <c r="K70" i="100"/>
  <c r="L78" i="100"/>
  <c r="K71" i="100"/>
  <c r="Q11" i="165" l="1"/>
  <c r="Q12" i="165"/>
  <c r="Q13" i="165"/>
  <c r="Q14" i="165"/>
  <c r="Q15" i="165"/>
  <c r="Q16" i="165"/>
  <c r="Q17" i="165"/>
  <c r="Q18" i="165"/>
  <c r="Q19" i="165"/>
  <c r="Q20" i="165"/>
  <c r="Q21" i="165"/>
  <c r="Q22" i="165"/>
  <c r="Q23" i="165"/>
  <c r="Q24" i="165"/>
  <c r="Q25" i="165"/>
  <c r="Q26" i="165"/>
  <c r="Q27" i="165"/>
  <c r="Q28" i="165"/>
  <c r="Q29" i="165"/>
  <c r="Q30" i="165"/>
  <c r="Q31" i="165"/>
  <c r="Q32" i="165"/>
  <c r="Q33" i="165"/>
  <c r="Q34" i="165"/>
  <c r="Q35" i="165"/>
  <c r="Q36" i="165"/>
  <c r="Q37" i="165"/>
  <c r="Q38" i="165"/>
  <c r="Q39" i="165"/>
  <c r="Q40" i="165"/>
  <c r="Q41" i="165"/>
  <c r="Q42" i="165"/>
  <c r="Q43" i="165"/>
  <c r="Q44" i="165"/>
  <c r="Q45" i="165"/>
  <c r="Q46" i="165"/>
  <c r="Q47" i="165"/>
  <c r="Q48" i="165"/>
  <c r="Q49" i="165"/>
  <c r="Q50" i="165"/>
  <c r="Q51" i="165"/>
  <c r="Q52" i="165"/>
  <c r="Q53" i="165"/>
  <c r="Q54" i="165"/>
  <c r="Q55" i="165"/>
  <c r="Q56" i="165"/>
  <c r="Q57" i="165"/>
  <c r="Q58" i="165"/>
  <c r="Q59" i="165"/>
  <c r="Q60" i="165"/>
  <c r="Q61" i="165"/>
  <c r="Q62" i="165"/>
  <c r="Q63" i="165"/>
  <c r="Q64" i="165"/>
  <c r="Q65" i="165"/>
  <c r="Q66" i="165"/>
  <c r="Q67" i="165"/>
  <c r="Q68" i="165"/>
  <c r="Q69" i="165"/>
  <c r="Q70" i="165"/>
  <c r="Q71" i="165"/>
  <c r="Q72" i="165"/>
  <c r="Q73" i="165"/>
  <c r="Q74" i="165"/>
  <c r="Q75" i="165"/>
  <c r="Q76" i="165"/>
  <c r="Q77" i="165"/>
  <c r="Q78" i="165"/>
  <c r="Q79" i="165"/>
  <c r="I15" i="165"/>
  <c r="I16" i="165"/>
  <c r="I17" i="165"/>
  <c r="I18" i="165"/>
  <c r="I19" i="165"/>
  <c r="I20" i="165"/>
  <c r="I21" i="165"/>
  <c r="I22" i="165"/>
  <c r="I23" i="165"/>
  <c r="I24" i="165"/>
  <c r="I25" i="165"/>
  <c r="I26" i="165"/>
  <c r="I27" i="165"/>
  <c r="I28" i="165"/>
  <c r="I29" i="165"/>
  <c r="I30" i="165"/>
  <c r="I31" i="165"/>
  <c r="I32" i="165"/>
  <c r="I33" i="165"/>
  <c r="I34" i="165"/>
  <c r="I35" i="165"/>
  <c r="I36" i="165"/>
  <c r="I37" i="165"/>
  <c r="I38" i="165"/>
  <c r="I39" i="165"/>
  <c r="I40" i="165"/>
  <c r="I41" i="165"/>
  <c r="I42" i="165"/>
  <c r="I43" i="165"/>
  <c r="I44" i="165"/>
  <c r="I45" i="165"/>
  <c r="I46" i="165"/>
  <c r="I47" i="165"/>
  <c r="I48" i="165"/>
  <c r="I49" i="165"/>
  <c r="I50" i="165"/>
  <c r="I51" i="165"/>
  <c r="I52" i="165"/>
  <c r="I53" i="165"/>
  <c r="I54" i="165"/>
  <c r="I55" i="165"/>
  <c r="I56" i="165"/>
  <c r="I57" i="165"/>
  <c r="I58" i="165"/>
  <c r="I59" i="165"/>
  <c r="I60" i="165"/>
  <c r="I61" i="165"/>
  <c r="I62" i="165"/>
  <c r="I63" i="165"/>
  <c r="I64" i="165"/>
  <c r="I65" i="165"/>
  <c r="I66" i="165"/>
  <c r="I67" i="165"/>
  <c r="I68" i="165"/>
  <c r="I69" i="165"/>
  <c r="I70" i="165"/>
  <c r="I71" i="165"/>
  <c r="I72" i="165"/>
  <c r="I73" i="165"/>
  <c r="G15" i="165"/>
  <c r="G16" i="165"/>
  <c r="G17" i="165"/>
  <c r="G18" i="165"/>
  <c r="G19" i="165"/>
  <c r="G20" i="165"/>
  <c r="G22" i="165"/>
  <c r="G23" i="165"/>
  <c r="G24" i="165"/>
  <c r="G25" i="165"/>
  <c r="G26" i="165"/>
  <c r="G27" i="165"/>
  <c r="G28" i="165"/>
  <c r="G29" i="165"/>
  <c r="G30" i="165"/>
  <c r="G31" i="165"/>
  <c r="G32" i="165"/>
  <c r="G33" i="165"/>
  <c r="G34" i="165"/>
  <c r="G35" i="165"/>
  <c r="G36" i="165"/>
  <c r="G37" i="165"/>
  <c r="G38" i="165"/>
  <c r="G39" i="165"/>
  <c r="G40" i="165"/>
  <c r="G41" i="165"/>
  <c r="G42" i="165"/>
  <c r="G43" i="165"/>
  <c r="G44" i="165"/>
  <c r="G45" i="165"/>
  <c r="G46" i="165"/>
  <c r="G47" i="165"/>
  <c r="G48" i="165"/>
  <c r="G49" i="165"/>
  <c r="G50" i="165"/>
  <c r="G51" i="165"/>
  <c r="G52" i="165"/>
  <c r="G53" i="165"/>
  <c r="G54" i="165"/>
  <c r="G55" i="165"/>
  <c r="G56" i="165"/>
  <c r="G57" i="165"/>
  <c r="G58" i="165"/>
  <c r="G59" i="165"/>
  <c r="G60" i="165"/>
  <c r="G61" i="165"/>
  <c r="G62" i="165"/>
  <c r="G63" i="165"/>
  <c r="G64" i="165"/>
  <c r="G65" i="165"/>
  <c r="G66" i="165"/>
  <c r="G67" i="165"/>
  <c r="G68" i="165"/>
  <c r="G69" i="165"/>
  <c r="G70" i="165"/>
  <c r="G71" i="165"/>
  <c r="G72" i="165"/>
  <c r="G73" i="165"/>
  <c r="J45" i="165" l="1"/>
  <c r="G74" i="165"/>
  <c r="I56" i="104"/>
  <c r="L56" i="104" s="1"/>
  <c r="L47" i="101"/>
  <c r="M47" i="101"/>
  <c r="L82" i="100" l="1"/>
  <c r="L69" i="100"/>
  <c r="L66" i="100"/>
  <c r="K60" i="100"/>
  <c r="K66" i="100" l="1"/>
  <c r="K65" i="100"/>
  <c r="K61" i="100"/>
  <c r="K62" i="100"/>
  <c r="K64" i="100"/>
  <c r="H56" i="163"/>
  <c r="H54" i="163"/>
  <c r="H50" i="163"/>
  <c r="H48" i="163"/>
  <c r="H46" i="163"/>
  <c r="F56" i="163"/>
  <c r="F54" i="163"/>
  <c r="F51" i="163"/>
  <c r="F50" i="163"/>
  <c r="F48" i="163"/>
  <c r="F46" i="163"/>
  <c r="I46" i="163" l="1"/>
  <c r="J46" i="163" s="1"/>
  <c r="I50" i="163"/>
  <c r="J50" i="163" s="1"/>
  <c r="I48" i="163"/>
  <c r="J48" i="163" s="1"/>
  <c r="I56" i="163"/>
  <c r="I54" i="163"/>
  <c r="J54" i="163" s="1"/>
  <c r="K54" i="163" s="1"/>
  <c r="H51" i="163"/>
  <c r="I51" i="163" s="1"/>
  <c r="J51" i="163" s="1"/>
  <c r="C67" i="163"/>
  <c r="D67" i="163" s="1"/>
  <c r="E67" i="163" s="1"/>
  <c r="F67" i="163" s="1"/>
  <c r="C75" i="163"/>
  <c r="D75" i="163" s="1"/>
  <c r="E75" i="163" s="1"/>
  <c r="F75" i="163" s="1"/>
  <c r="K51" i="163" l="1"/>
  <c r="K50" i="163"/>
  <c r="K48" i="163"/>
  <c r="J56" i="163"/>
  <c r="K56" i="163" s="1"/>
  <c r="J57" i="163" l="1"/>
  <c r="D152" i="163"/>
  <c r="E152" i="163" s="1"/>
  <c r="D150" i="163"/>
  <c r="E150" i="163" s="1"/>
  <c r="D149" i="163"/>
  <c r="E149" i="163" s="1"/>
  <c r="D148" i="163"/>
  <c r="E148" i="163" s="1"/>
  <c r="D146" i="163"/>
  <c r="E146" i="163" s="1"/>
  <c r="E144" i="163"/>
  <c r="D142" i="163"/>
  <c r="E142" i="163" s="1"/>
  <c r="D140" i="163"/>
  <c r="E140" i="163" s="1"/>
  <c r="D138" i="163"/>
  <c r="E136" i="163"/>
  <c r="D24" i="163"/>
  <c r="D25" i="163"/>
  <c r="E25" i="163" s="1"/>
  <c r="D153" i="163" l="1"/>
  <c r="D26" i="163"/>
  <c r="E138" i="163"/>
  <c r="E153" i="163" s="1"/>
  <c r="E24" i="163"/>
  <c r="E287" i="163"/>
  <c r="E278" i="163"/>
  <c r="D267" i="163"/>
  <c r="E267" i="163" s="1"/>
  <c r="F267" i="163" s="1"/>
  <c r="D268" i="163"/>
  <c r="E268" i="163" s="1"/>
  <c r="F268" i="163" s="1"/>
  <c r="D266" i="163"/>
  <c r="E266" i="163" s="1"/>
  <c r="F266" i="163" s="1"/>
  <c r="G266" i="163" s="1"/>
  <c r="E265" i="163"/>
  <c r="F265" i="163" s="1"/>
  <c r="D256" i="163"/>
  <c r="E256" i="163" s="1"/>
  <c r="D255" i="163"/>
  <c r="L268" i="163"/>
  <c r="M268" i="163" s="1"/>
  <c r="L267" i="163"/>
  <c r="M267" i="163" s="1"/>
  <c r="L266" i="163"/>
  <c r="M266" i="163" s="1"/>
  <c r="L265" i="163"/>
  <c r="M265" i="163" s="1"/>
  <c r="N265" i="163" s="1"/>
  <c r="O265" i="163" s="1"/>
  <c r="J231" i="163"/>
  <c r="K231" i="163" s="1"/>
  <c r="J230" i="163"/>
  <c r="K230" i="163" s="1"/>
  <c r="J229" i="163"/>
  <c r="K229" i="163" s="1"/>
  <c r="L229" i="163" s="1"/>
  <c r="D235" i="163"/>
  <c r="E235" i="163" s="1"/>
  <c r="D233" i="163"/>
  <c r="E233" i="163" s="1"/>
  <c r="D234" i="163"/>
  <c r="E234" i="163" s="1"/>
  <c r="D232" i="163"/>
  <c r="E232" i="163" s="1"/>
  <c r="D231" i="163"/>
  <c r="E231" i="163" s="1"/>
  <c r="D229" i="163"/>
  <c r="J207" i="163"/>
  <c r="K207" i="163" s="1"/>
  <c r="E207" i="163"/>
  <c r="E208" i="163" s="1"/>
  <c r="J196" i="163"/>
  <c r="K196" i="163" s="1"/>
  <c r="D196" i="163"/>
  <c r="J185" i="163"/>
  <c r="K185" i="163" s="1"/>
  <c r="D185" i="163"/>
  <c r="J174" i="163"/>
  <c r="E163" i="163"/>
  <c r="D116" i="163"/>
  <c r="I105" i="163"/>
  <c r="J105" i="163" s="1"/>
  <c r="K105" i="163" s="1"/>
  <c r="L105" i="163" s="1"/>
  <c r="I95" i="163"/>
  <c r="J95" i="163" s="1"/>
  <c r="C105" i="163" s="1"/>
  <c r="D96" i="163"/>
  <c r="E96" i="163" s="1"/>
  <c r="B105" i="163" s="1"/>
  <c r="E95" i="163"/>
  <c r="A105" i="163" s="1"/>
  <c r="D84" i="163"/>
  <c r="E84" i="163" s="1"/>
  <c r="D85" i="163"/>
  <c r="E85" i="163" s="1"/>
  <c r="F269" i="163" l="1"/>
  <c r="E116" i="163"/>
  <c r="D117" i="163"/>
  <c r="F163" i="163"/>
  <c r="F164" i="163" s="1"/>
  <c r="E164" i="163"/>
  <c r="E185" i="163"/>
  <c r="E186" i="163" s="1"/>
  <c r="D186" i="163"/>
  <c r="K186" i="163"/>
  <c r="L185" i="163"/>
  <c r="L186" i="163" s="1"/>
  <c r="L207" i="163"/>
  <c r="L208" i="163" s="1"/>
  <c r="K208" i="163"/>
  <c r="G265" i="163"/>
  <c r="E196" i="163"/>
  <c r="E197" i="163" s="1"/>
  <c r="D197" i="163"/>
  <c r="D105" i="163"/>
  <c r="L196" i="163"/>
  <c r="L197" i="163" s="1"/>
  <c r="K197" i="163"/>
  <c r="E255" i="163"/>
  <c r="E257" i="163" s="1"/>
  <c r="D257" i="163"/>
  <c r="M229" i="163"/>
  <c r="D236" i="163"/>
  <c r="E236" i="163" s="1"/>
  <c r="E229" i="163"/>
  <c r="E23" i="163"/>
  <c r="E26" i="163" s="1"/>
  <c r="E115" i="163"/>
  <c r="F12" i="155"/>
  <c r="H170" i="158" l="1"/>
  <c r="J170" i="158" s="1"/>
  <c r="H171" i="158"/>
  <c r="R39" i="97" l="1"/>
  <c r="R42" i="97"/>
  <c r="R47" i="97"/>
  <c r="R48" i="97"/>
  <c r="R18" i="97"/>
  <c r="R21" i="97"/>
  <c r="R22" i="97"/>
  <c r="R23" i="97"/>
  <c r="R24" i="97"/>
  <c r="R25" i="97"/>
  <c r="R26" i="97"/>
  <c r="R27" i="97"/>
  <c r="J17" i="97"/>
  <c r="F13" i="97"/>
  <c r="I13" i="97" s="1"/>
  <c r="M13" i="97" s="1"/>
  <c r="F48" i="168"/>
  <c r="E60" i="168" s="1"/>
  <c r="I36" i="168"/>
  <c r="I35" i="168"/>
  <c r="G60" i="168"/>
  <c r="F60" i="168"/>
  <c r="E48" i="168"/>
  <c r="E16" i="167"/>
  <c r="E17" i="167"/>
  <c r="J60" i="168" l="1"/>
  <c r="K60" i="168" s="1"/>
  <c r="K63" i="168" s="1"/>
  <c r="F16" i="167"/>
  <c r="F60" i="128"/>
  <c r="I37" i="168"/>
  <c r="I48" i="168"/>
  <c r="Q13" i="97"/>
  <c r="R13" i="97" s="1"/>
  <c r="J48" i="168" l="1"/>
  <c r="J51" i="168" s="1"/>
  <c r="J37" i="168"/>
  <c r="K30" i="168" s="1"/>
  <c r="F61" i="128" l="1"/>
  <c r="G17" i="158"/>
  <c r="H17" i="158" l="1"/>
  <c r="F21" i="155"/>
  <c r="F20" i="155"/>
  <c r="F14" i="159" l="1"/>
  <c r="D50" i="159" s="1"/>
  <c r="G14" i="159"/>
  <c r="D34" i="159" s="1"/>
  <c r="I59" i="128"/>
  <c r="P61" i="97"/>
  <c r="C47" i="97"/>
  <c r="I61" i="128" l="1"/>
  <c r="H14" i="159"/>
  <c r="E50" i="159"/>
  <c r="B5" i="167"/>
  <c r="B6" i="168"/>
  <c r="B5" i="168"/>
  <c r="B6" i="167"/>
  <c r="P59" i="97"/>
  <c r="P62" i="97"/>
  <c r="P63" i="97"/>
  <c r="P64" i="97"/>
  <c r="P65" i="97"/>
  <c r="P66" i="97"/>
  <c r="P67" i="97"/>
  <c r="P68" i="97"/>
  <c r="P58" i="97"/>
  <c r="C48" i="97" l="1"/>
  <c r="C34" i="97"/>
  <c r="C35" i="97"/>
  <c r="C36" i="97"/>
  <c r="C37" i="97"/>
  <c r="C38" i="97"/>
  <c r="C39" i="97"/>
  <c r="B65" i="97" s="1"/>
  <c r="C40" i="97"/>
  <c r="C41" i="97"/>
  <c r="C42" i="97"/>
  <c r="C43" i="97"/>
  <c r="C44" i="97"/>
  <c r="C45" i="97"/>
  <c r="C46" i="97"/>
  <c r="C33" i="97"/>
  <c r="D82" i="151"/>
  <c r="D84" i="151" s="1"/>
  <c r="K74" i="150"/>
  <c r="K126" i="150"/>
  <c r="I60" i="128" l="1"/>
  <c r="B66" i="97"/>
  <c r="B64" i="97"/>
  <c r="B63" i="97"/>
  <c r="B58" i="97"/>
  <c r="B62" i="97"/>
  <c r="B59" i="97"/>
  <c r="B61" i="97"/>
  <c r="B60" i="97"/>
  <c r="B67" i="97"/>
  <c r="H15" i="149"/>
  <c r="H16" i="149"/>
  <c r="H17" i="149"/>
  <c r="H18" i="149"/>
  <c r="H19" i="149"/>
  <c r="H20" i="149"/>
  <c r="H21" i="149"/>
  <c r="H22" i="149"/>
  <c r="H23" i="149"/>
  <c r="E144" i="150" l="1"/>
  <c r="E134" i="150"/>
  <c r="E114" i="150"/>
  <c r="E122" i="150" s="1"/>
  <c r="E124" i="150" s="1"/>
  <c r="E149" i="150"/>
  <c r="E139" i="150"/>
  <c r="E140" i="150" s="1"/>
  <c r="L126" i="150"/>
  <c r="E115" i="150" s="1"/>
  <c r="E119" i="150"/>
  <c r="N126" i="150"/>
  <c r="E117" i="150" s="1"/>
  <c r="E92" i="150"/>
  <c r="E104" i="150" s="1"/>
  <c r="E106" i="150" s="1"/>
  <c r="E62" i="150"/>
  <c r="E97" i="150"/>
  <c r="E87" i="150"/>
  <c r="L74" i="150"/>
  <c r="E63" i="150" s="1"/>
  <c r="E67" i="150"/>
  <c r="M74" i="150"/>
  <c r="E64" i="150" s="1"/>
  <c r="N74" i="150"/>
  <c r="E65" i="150" s="1"/>
  <c r="E40" i="150"/>
  <c r="E30" i="150"/>
  <c r="E10" i="150"/>
  <c r="J54" i="132"/>
  <c r="D54" i="132"/>
  <c r="D65" i="132" s="1"/>
  <c r="D66" i="132" s="1"/>
  <c r="D67" i="132" s="1"/>
  <c r="J61" i="132"/>
  <c r="J62" i="132" s="1"/>
  <c r="J63" i="132" s="1"/>
  <c r="J32" i="132"/>
  <c r="D32" i="132"/>
  <c r="J10" i="132"/>
  <c r="D10" i="132"/>
  <c r="H75" i="149"/>
  <c r="H76" i="149"/>
  <c r="H77" i="149"/>
  <c r="H78" i="149"/>
  <c r="H79" i="149"/>
  <c r="H80" i="149"/>
  <c r="H81" i="149"/>
  <c r="H82" i="149"/>
  <c r="H83" i="149"/>
  <c r="T12" i="165"/>
  <c r="T13" i="165"/>
  <c r="T19" i="165"/>
  <c r="T20" i="165"/>
  <c r="T21" i="165"/>
  <c r="T27" i="165"/>
  <c r="T28" i="165"/>
  <c r="T35" i="165"/>
  <c r="T36" i="165"/>
  <c r="T37" i="165"/>
  <c r="T43" i="165"/>
  <c r="T44" i="165"/>
  <c r="T45" i="165"/>
  <c r="T51" i="165"/>
  <c r="T52" i="165"/>
  <c r="T53" i="165"/>
  <c r="T59" i="165"/>
  <c r="T60" i="165"/>
  <c r="T61" i="165"/>
  <c r="T67" i="165"/>
  <c r="T68" i="165"/>
  <c r="T69" i="165"/>
  <c r="T75" i="165"/>
  <c r="T76" i="165"/>
  <c r="M80" i="165"/>
  <c r="T77" i="165"/>
  <c r="B4" i="165"/>
  <c r="C74" i="165"/>
  <c r="J10" i="165"/>
  <c r="M8" i="165" l="1"/>
  <c r="J8" i="165"/>
  <c r="C8" i="165"/>
  <c r="T8" i="165"/>
  <c r="E156" i="150"/>
  <c r="E158" i="150" s="1"/>
  <c r="E150" i="150"/>
  <c r="E70" i="150"/>
  <c r="E72" i="150" s="1"/>
  <c r="E68" i="150"/>
  <c r="E126" i="150"/>
  <c r="E128" i="150" s="1"/>
  <c r="T10" i="165"/>
  <c r="T46" i="165"/>
  <c r="T29" i="165"/>
  <c r="I74" i="165"/>
  <c r="T22" i="165"/>
  <c r="T14" i="165"/>
  <c r="T38" i="165"/>
  <c r="T30" i="165"/>
  <c r="Q80" i="165"/>
  <c r="S80" i="165"/>
  <c r="R80" i="165"/>
  <c r="E88" i="150"/>
  <c r="T73" i="165"/>
  <c r="H74" i="165"/>
  <c r="T70" i="165"/>
  <c r="T65" i="165"/>
  <c r="T62" i="165"/>
  <c r="T57" i="165"/>
  <c r="T54" i="165"/>
  <c r="T49" i="165"/>
  <c r="T41" i="165"/>
  <c r="T33" i="165"/>
  <c r="T25" i="165"/>
  <c r="T17" i="165"/>
  <c r="T11" i="165"/>
  <c r="T78" i="165"/>
  <c r="T74" i="165"/>
  <c r="T72" i="165"/>
  <c r="T66" i="165"/>
  <c r="T64" i="165"/>
  <c r="T58" i="165"/>
  <c r="T56" i="165"/>
  <c r="T50" i="165"/>
  <c r="T48" i="165"/>
  <c r="T42" i="165"/>
  <c r="T40" i="165"/>
  <c r="T34" i="165"/>
  <c r="T32" i="165"/>
  <c r="T26" i="165"/>
  <c r="T24" i="165"/>
  <c r="T18" i="165"/>
  <c r="T16" i="165"/>
  <c r="E74" i="150"/>
  <c r="E76" i="150" s="1"/>
  <c r="T71" i="165"/>
  <c r="T63" i="165"/>
  <c r="T55" i="165"/>
  <c r="T47" i="165"/>
  <c r="T39" i="165"/>
  <c r="T31" i="165"/>
  <c r="T23" i="165"/>
  <c r="T15" i="165"/>
  <c r="M126" i="150"/>
  <c r="E116" i="150" s="1"/>
  <c r="E120" i="150" s="1"/>
  <c r="E152" i="150"/>
  <c r="E154" i="150" s="1"/>
  <c r="E98" i="150"/>
  <c r="E100" i="150"/>
  <c r="E102" i="150" s="1"/>
  <c r="J65" i="132"/>
  <c r="J66" i="132" s="1"/>
  <c r="J67" i="132" s="1"/>
  <c r="J69" i="132" s="1"/>
  <c r="D61" i="132"/>
  <c r="D62" i="132" s="1"/>
  <c r="D63" i="132" s="1"/>
  <c r="D69" i="132" s="1"/>
  <c r="T79" i="165"/>
  <c r="J29" i="165"/>
  <c r="J37" i="165"/>
  <c r="J56" i="165"/>
  <c r="J72" i="165"/>
  <c r="J66" i="165"/>
  <c r="J67" i="165"/>
  <c r="J62" i="165"/>
  <c r="J68" i="165"/>
  <c r="J12" i="165"/>
  <c r="J20" i="165"/>
  <c r="J28" i="165"/>
  <c r="J44" i="165"/>
  <c r="J13" i="165"/>
  <c r="J21" i="165"/>
  <c r="J36" i="165"/>
  <c r="J54" i="165"/>
  <c r="J58" i="165"/>
  <c r="J64" i="165"/>
  <c r="J70" i="165"/>
  <c r="J17" i="165"/>
  <c r="J25" i="165"/>
  <c r="J33" i="165"/>
  <c r="J41" i="165"/>
  <c r="J49" i="165"/>
  <c r="J60" i="165"/>
  <c r="J32" i="165"/>
  <c r="J14" i="165"/>
  <c r="J15" i="165"/>
  <c r="J22" i="165"/>
  <c r="J23" i="165"/>
  <c r="J30" i="165"/>
  <c r="J31" i="165"/>
  <c r="J38" i="165"/>
  <c r="J39" i="165"/>
  <c r="J46" i="165"/>
  <c r="J47" i="165"/>
  <c r="J63" i="165"/>
  <c r="J24" i="165"/>
  <c r="J40" i="165"/>
  <c r="J18" i="165"/>
  <c r="J26" i="165"/>
  <c r="J34" i="165"/>
  <c r="J42" i="165"/>
  <c r="J50" i="165"/>
  <c r="J48" i="165"/>
  <c r="J65" i="165"/>
  <c r="J16" i="165"/>
  <c r="J52" i="165"/>
  <c r="J59" i="165"/>
  <c r="J53" i="165"/>
  <c r="J69" i="165"/>
  <c r="J57" i="165"/>
  <c r="J73" i="165"/>
  <c r="J11" i="165"/>
  <c r="J61" i="165"/>
  <c r="J19" i="165"/>
  <c r="J27" i="165"/>
  <c r="J35" i="165"/>
  <c r="J43" i="165"/>
  <c r="J51" i="165"/>
  <c r="J55" i="165"/>
  <c r="J71" i="165"/>
  <c r="F45" i="128" l="1"/>
  <c r="E130" i="150"/>
  <c r="E78" i="150"/>
  <c r="T80" i="165"/>
  <c r="E160" i="150"/>
  <c r="E108" i="150"/>
  <c r="J74" i="165"/>
  <c r="H42" i="128" l="1"/>
  <c r="F46" i="128"/>
  <c r="H83" i="109"/>
  <c r="F83" i="109"/>
  <c r="K82" i="109"/>
  <c r="K81" i="109"/>
  <c r="K80" i="109"/>
  <c r="K79" i="109"/>
  <c r="H62" i="109"/>
  <c r="I62" i="109" s="1"/>
  <c r="H61" i="109"/>
  <c r="I61" i="109" s="1"/>
  <c r="H60" i="109"/>
  <c r="I60" i="109" s="1"/>
  <c r="H59" i="109"/>
  <c r="I59" i="109" s="1"/>
  <c r="H58" i="109"/>
  <c r="C13" i="151"/>
  <c r="K83" i="109" l="1"/>
  <c r="H63" i="109"/>
  <c r="C69" i="101" s="1"/>
  <c r="E34" i="104" s="1"/>
  <c r="I58" i="109"/>
  <c r="I63" i="109" s="1"/>
  <c r="K70" i="109" l="1"/>
  <c r="K71" i="109"/>
  <c r="K72" i="109"/>
  <c r="K73" i="109"/>
  <c r="H34" i="109"/>
  <c r="I34" i="109"/>
  <c r="H35" i="109"/>
  <c r="I35" i="109"/>
  <c r="H36" i="109"/>
  <c r="I36" i="109"/>
  <c r="H37" i="109"/>
  <c r="I37" i="109"/>
  <c r="I33" i="109"/>
  <c r="H33" i="109"/>
  <c r="H31" i="109"/>
  <c r="H30" i="109"/>
  <c r="H29" i="109"/>
  <c r="H28" i="109"/>
  <c r="I27" i="109"/>
  <c r="I31" i="109"/>
  <c r="I30" i="109"/>
  <c r="I29" i="109"/>
  <c r="I28" i="109"/>
  <c r="N39" i="101"/>
  <c r="O39" i="101"/>
  <c r="N40" i="101"/>
  <c r="O40" i="101"/>
  <c r="N41" i="101"/>
  <c r="O41" i="101"/>
  <c r="N44" i="101"/>
  <c r="O44" i="101"/>
  <c r="N47" i="101"/>
  <c r="O47" i="101"/>
  <c r="I33" i="164"/>
  <c r="I24" i="164"/>
  <c r="I12" i="164"/>
  <c r="I13" i="164"/>
  <c r="I14" i="164"/>
  <c r="I15" i="164"/>
  <c r="I16" i="164"/>
  <c r="I17" i="164"/>
  <c r="I18" i="164"/>
  <c r="I19" i="164"/>
  <c r="I11" i="164"/>
  <c r="I38" i="109" l="1"/>
  <c r="O61" i="111"/>
  <c r="O59" i="111"/>
  <c r="D54" i="111"/>
  <c r="I54" i="111" s="1"/>
  <c r="M54" i="111" s="1"/>
  <c r="D50" i="111"/>
  <c r="L53" i="111" s="1"/>
  <c r="J55" i="111" l="1"/>
  <c r="I50" i="111"/>
  <c r="M50" i="111" s="1"/>
  <c r="J51" i="111"/>
  <c r="K56" i="111"/>
  <c r="N56" i="111" s="1"/>
  <c r="L57" i="111"/>
  <c r="K52" i="111"/>
  <c r="N52" i="111" s="1"/>
  <c r="D85" i="151" l="1"/>
  <c r="D72" i="151"/>
  <c r="D63" i="151"/>
  <c r="D49" i="151" l="1"/>
  <c r="D52" i="151" s="1"/>
  <c r="J43" i="132" l="1"/>
  <c r="J44" i="132" s="1"/>
  <c r="J45" i="132" s="1"/>
  <c r="D43" i="132"/>
  <c r="D44" i="132" s="1"/>
  <c r="D45" i="132" s="1"/>
  <c r="E81" i="149"/>
  <c r="D81" i="149"/>
  <c r="E80" i="149"/>
  <c r="D80" i="149"/>
  <c r="E79" i="149"/>
  <c r="D79" i="149"/>
  <c r="E78" i="149"/>
  <c r="D78" i="149"/>
  <c r="E77" i="149"/>
  <c r="D77" i="149"/>
  <c r="E76" i="149"/>
  <c r="D76" i="149"/>
  <c r="E75" i="149"/>
  <c r="D75" i="149"/>
  <c r="E74" i="149"/>
  <c r="D74" i="149"/>
  <c r="C82" i="149"/>
  <c r="E73" i="149"/>
  <c r="D73" i="149"/>
  <c r="E72" i="149"/>
  <c r="D72" i="149"/>
  <c r="I77" i="149" l="1"/>
  <c r="I85" i="149"/>
  <c r="I93" i="149"/>
  <c r="I78" i="149"/>
  <c r="I86" i="149"/>
  <c r="I94" i="149"/>
  <c r="I79" i="149"/>
  <c r="I87" i="149"/>
  <c r="I80" i="149"/>
  <c r="I88" i="149"/>
  <c r="I81" i="149"/>
  <c r="I89" i="149"/>
  <c r="I75" i="149"/>
  <c r="I83" i="149"/>
  <c r="I91" i="149"/>
  <c r="I76" i="149"/>
  <c r="I84" i="149"/>
  <c r="I92" i="149"/>
  <c r="I82" i="149"/>
  <c r="I90" i="149"/>
  <c r="D39" i="132"/>
  <c r="D40" i="132" s="1"/>
  <c r="D41" i="132" s="1"/>
  <c r="D47" i="132" s="1"/>
  <c r="J39" i="132"/>
  <c r="J40" i="132" s="1"/>
  <c r="J41" i="132" s="1"/>
  <c r="J47" i="132" s="1"/>
  <c r="E82" i="149"/>
  <c r="C88" i="149" s="1"/>
  <c r="C90" i="149" s="1"/>
  <c r="D82" i="149"/>
  <c r="C86" i="149" s="1"/>
  <c r="J74" i="149" s="1"/>
  <c r="H41" i="128" l="1"/>
  <c r="J82" i="149"/>
  <c r="K82" i="149" s="1"/>
  <c r="J90" i="149"/>
  <c r="K90" i="149" s="1"/>
  <c r="J75" i="149"/>
  <c r="K75" i="149" s="1"/>
  <c r="J83" i="149"/>
  <c r="K83" i="149" s="1"/>
  <c r="J91" i="149"/>
  <c r="K91" i="149" s="1"/>
  <c r="J76" i="149"/>
  <c r="K76" i="149" s="1"/>
  <c r="J84" i="149"/>
  <c r="K84" i="149" s="1"/>
  <c r="J92" i="149"/>
  <c r="K92" i="149" s="1"/>
  <c r="J77" i="149"/>
  <c r="K77" i="149" s="1"/>
  <c r="J85" i="149"/>
  <c r="K85" i="149" s="1"/>
  <c r="J93" i="149"/>
  <c r="K93" i="149" s="1"/>
  <c r="J78" i="149"/>
  <c r="K78" i="149" s="1"/>
  <c r="J86" i="149"/>
  <c r="K86" i="149" s="1"/>
  <c r="J94" i="149"/>
  <c r="K94" i="149" s="1"/>
  <c r="J80" i="149"/>
  <c r="K80" i="149" s="1"/>
  <c r="J88" i="149"/>
  <c r="K88" i="149" s="1"/>
  <c r="J81" i="149"/>
  <c r="K81" i="149" s="1"/>
  <c r="J89" i="149"/>
  <c r="K89" i="149" s="1"/>
  <c r="J79" i="149"/>
  <c r="K79" i="149" s="1"/>
  <c r="J87" i="149"/>
  <c r="K87" i="149" s="1"/>
  <c r="K74" i="149"/>
  <c r="C89" i="149"/>
  <c r="C92" i="149"/>
  <c r="M74" i="149" l="1"/>
  <c r="O74" i="149" s="1"/>
  <c r="L74" i="149"/>
  <c r="N74" i="149" s="1"/>
  <c r="M88" i="149"/>
  <c r="L88" i="149"/>
  <c r="L76" i="149"/>
  <c r="M76" i="149"/>
  <c r="M92" i="149"/>
  <c r="L92" i="149"/>
  <c r="M86" i="149"/>
  <c r="L86" i="149"/>
  <c r="M79" i="149"/>
  <c r="L79" i="149"/>
  <c r="M93" i="149"/>
  <c r="L93" i="149"/>
  <c r="L75" i="149"/>
  <c r="N75" i="149" s="1"/>
  <c r="M75" i="149"/>
  <c r="M84" i="149"/>
  <c r="L84" i="149"/>
  <c r="M87" i="149"/>
  <c r="L87" i="149"/>
  <c r="L83" i="149"/>
  <c r="M83" i="149"/>
  <c r="L89" i="149"/>
  <c r="M89" i="149"/>
  <c r="M85" i="149"/>
  <c r="L85" i="149"/>
  <c r="L90" i="149"/>
  <c r="M90" i="149"/>
  <c r="M80" i="149"/>
  <c r="L80" i="149"/>
  <c r="M94" i="149"/>
  <c r="L94" i="149"/>
  <c r="L91" i="149"/>
  <c r="M91" i="149"/>
  <c r="L78" i="149"/>
  <c r="M78" i="149"/>
  <c r="L81" i="149"/>
  <c r="M81" i="149"/>
  <c r="M77" i="149"/>
  <c r="L77" i="149"/>
  <c r="L82" i="149"/>
  <c r="M82" i="149"/>
  <c r="H44" i="149"/>
  <c r="H45" i="149"/>
  <c r="H46" i="149"/>
  <c r="H47" i="149"/>
  <c r="H48" i="149"/>
  <c r="H49" i="149"/>
  <c r="H50" i="149"/>
  <c r="H51" i="149"/>
  <c r="H52" i="149"/>
  <c r="H43" i="149"/>
  <c r="C27" i="149"/>
  <c r="C35" i="149"/>
  <c r="I14" i="149" s="1"/>
  <c r="I15" i="149" s="1"/>
  <c r="C34" i="149"/>
  <c r="C33" i="149"/>
  <c r="C62" i="149"/>
  <c r="C64" i="149"/>
  <c r="I43" i="149" s="1"/>
  <c r="I44" i="149" s="1"/>
  <c r="I45" i="149" s="1"/>
  <c r="I46" i="149" s="1"/>
  <c r="I47" i="149" s="1"/>
  <c r="I48" i="149" s="1"/>
  <c r="I49" i="149" s="1"/>
  <c r="I50" i="149" s="1"/>
  <c r="I51" i="149" s="1"/>
  <c r="I52" i="149" s="1"/>
  <c r="I53" i="149" s="1"/>
  <c r="I54" i="149" s="1"/>
  <c r="I55" i="149" s="1"/>
  <c r="I56" i="149" s="1"/>
  <c r="I57" i="149" s="1"/>
  <c r="I58" i="149" s="1"/>
  <c r="I59" i="149" s="1"/>
  <c r="I60" i="149" s="1"/>
  <c r="I61" i="149" s="1"/>
  <c r="I62" i="149" s="1"/>
  <c r="I63" i="149" s="1"/>
  <c r="B17" i="153"/>
  <c r="N76" i="149" l="1"/>
  <c r="P74" i="149"/>
  <c r="Q74" i="149" s="1"/>
  <c r="R74" i="149" s="1"/>
  <c r="O77" i="149"/>
  <c r="P77" i="149" s="1"/>
  <c r="Q77" i="149" s="1"/>
  <c r="R77" i="149" s="1"/>
  <c r="O75" i="149"/>
  <c r="P75" i="149" s="1"/>
  <c r="Q75" i="149" s="1"/>
  <c r="R75" i="149" s="1"/>
  <c r="O76" i="149"/>
  <c r="P76" i="149" s="1"/>
  <c r="Q76" i="149" s="1"/>
  <c r="R76" i="149" s="1"/>
  <c r="N77" i="149"/>
  <c r="N78" i="149" s="1"/>
  <c r="N79" i="149" s="1"/>
  <c r="N80" i="149" s="1"/>
  <c r="N81" i="149" s="1"/>
  <c r="N82" i="149" s="1"/>
  <c r="N83" i="149" s="1"/>
  <c r="N84" i="149" s="1"/>
  <c r="N85" i="149" s="1"/>
  <c r="O86" i="149" s="1"/>
  <c r="O81" i="149" l="1"/>
  <c r="P81" i="149" s="1"/>
  <c r="Q81" i="149" s="1"/>
  <c r="R81" i="149" s="1"/>
  <c r="O83" i="149"/>
  <c r="P83" i="149" s="1"/>
  <c r="Q83" i="149" s="1"/>
  <c r="R83" i="149" s="1"/>
  <c r="O84" i="149"/>
  <c r="P84" i="149" s="1"/>
  <c r="Q84" i="149" s="1"/>
  <c r="R84" i="149" s="1"/>
  <c r="O82" i="149"/>
  <c r="P82" i="149" s="1"/>
  <c r="Q82" i="149" s="1"/>
  <c r="R82" i="149" s="1"/>
  <c r="O85" i="149"/>
  <c r="P85" i="149" s="1"/>
  <c r="Q85" i="149" s="1"/>
  <c r="R85" i="149" s="1"/>
  <c r="O79" i="149"/>
  <c r="P79" i="149" s="1"/>
  <c r="Q79" i="149" s="1"/>
  <c r="R79" i="149" s="1"/>
  <c r="O78" i="149"/>
  <c r="P78" i="149" s="1"/>
  <c r="Q78" i="149" s="1"/>
  <c r="R78" i="149" s="1"/>
  <c r="O80" i="149"/>
  <c r="P80" i="149" s="1"/>
  <c r="Q80" i="149" s="1"/>
  <c r="R80" i="149" s="1"/>
  <c r="P86" i="149"/>
  <c r="Q86" i="149" s="1"/>
  <c r="R86" i="149" s="1"/>
  <c r="N86" i="149"/>
  <c r="O87" i="149" s="1"/>
  <c r="H56" i="104"/>
  <c r="K56" i="104" s="1"/>
  <c r="G56" i="104"/>
  <c r="J56" i="104" s="1"/>
  <c r="I57" i="104"/>
  <c r="L57" i="104" s="1"/>
  <c r="H57" i="104"/>
  <c r="K57" i="104" s="1"/>
  <c r="G57" i="104"/>
  <c r="J57" i="104" s="1"/>
  <c r="E57" i="104"/>
  <c r="E35" i="104"/>
  <c r="E36" i="104"/>
  <c r="E37" i="104"/>
  <c r="E72" i="100"/>
  <c r="E23" i="100"/>
  <c r="N56" i="104" l="1"/>
  <c r="P87" i="149"/>
  <c r="Q87" i="149" s="1"/>
  <c r="R87" i="149" s="1"/>
  <c r="N87" i="149"/>
  <c r="O88" i="149" s="1"/>
  <c r="O57" i="104"/>
  <c r="P57" i="104"/>
  <c r="N57" i="104"/>
  <c r="M57" i="104"/>
  <c r="Q57" i="104" l="1"/>
  <c r="P88" i="149"/>
  <c r="Q88" i="149" s="1"/>
  <c r="R88" i="149" s="1"/>
  <c r="N88" i="149"/>
  <c r="O89" i="149" s="1"/>
  <c r="H74" i="109"/>
  <c r="F74" i="109"/>
  <c r="H52" i="109"/>
  <c r="H51" i="109"/>
  <c r="H50" i="109"/>
  <c r="H49" i="109"/>
  <c r="H49" i="101"/>
  <c r="E53" i="104" s="1"/>
  <c r="C124" i="101"/>
  <c r="C126" i="101" s="1"/>
  <c r="E63" i="100" s="1"/>
  <c r="E65" i="100"/>
  <c r="C113" i="101"/>
  <c r="C114" i="101" s="1"/>
  <c r="C97" i="101"/>
  <c r="C98" i="101" s="1"/>
  <c r="C100" i="101" s="1"/>
  <c r="I80" i="101" l="1"/>
  <c r="O43" i="101" s="1"/>
  <c r="E41" i="100" s="1"/>
  <c r="N89" i="149"/>
  <c r="O90" i="149" s="1"/>
  <c r="P89" i="149"/>
  <c r="Q89" i="149" s="1"/>
  <c r="R89" i="149" s="1"/>
  <c r="H53" i="109"/>
  <c r="K74" i="109"/>
  <c r="H38" i="109"/>
  <c r="E41" i="104" s="1"/>
  <c r="I48" i="109"/>
  <c r="I52" i="109"/>
  <c r="I50" i="109"/>
  <c r="I49" i="109"/>
  <c r="I51" i="109"/>
  <c r="J80" i="101"/>
  <c r="P90" i="149" l="1"/>
  <c r="Q90" i="149" s="1"/>
  <c r="R90" i="149" s="1"/>
  <c r="N90" i="149"/>
  <c r="O91" i="149" s="1"/>
  <c r="G11" i="109"/>
  <c r="E19" i="104"/>
  <c r="I53" i="109"/>
  <c r="E50" i="104" s="1"/>
  <c r="E22" i="104"/>
  <c r="N91" i="149" l="1"/>
  <c r="O92" i="149" s="1"/>
  <c r="P91" i="149"/>
  <c r="Q91" i="149" s="1"/>
  <c r="R91" i="149" s="1"/>
  <c r="C68" i="101"/>
  <c r="E33" i="104" s="1"/>
  <c r="O57" i="101"/>
  <c r="P92" i="149" l="1"/>
  <c r="Q92" i="149" s="1"/>
  <c r="R92" i="149" s="1"/>
  <c r="N92" i="149"/>
  <c r="O93" i="149" s="1"/>
  <c r="P11" i="101"/>
  <c r="S11" i="101" s="1"/>
  <c r="P48" i="101"/>
  <c r="P50" i="101"/>
  <c r="P51" i="101"/>
  <c r="M45" i="101"/>
  <c r="E57" i="100" s="1"/>
  <c r="M44" i="101"/>
  <c r="M43" i="101"/>
  <c r="M42" i="101"/>
  <c r="M41" i="101"/>
  <c r="E30" i="100" s="1"/>
  <c r="M39" i="101"/>
  <c r="L41" i="101"/>
  <c r="E29" i="100" s="1"/>
  <c r="L42" i="101"/>
  <c r="L43" i="101"/>
  <c r="L44" i="101"/>
  <c r="L45" i="101"/>
  <c r="E56" i="100" s="1"/>
  <c r="L39" i="101"/>
  <c r="K47" i="101"/>
  <c r="K45" i="101"/>
  <c r="E58" i="100" s="1"/>
  <c r="K44" i="101"/>
  <c r="K43" i="101"/>
  <c r="K42" i="101"/>
  <c r="E37" i="100" s="1"/>
  <c r="K41" i="101"/>
  <c r="E31" i="100" s="1"/>
  <c r="K39" i="101"/>
  <c r="J45" i="101"/>
  <c r="E54" i="100" s="1"/>
  <c r="J44" i="101"/>
  <c r="J43" i="101"/>
  <c r="J42" i="101"/>
  <c r="J41" i="101"/>
  <c r="E27" i="100" s="1"/>
  <c r="J39" i="101"/>
  <c r="I45" i="101"/>
  <c r="E53" i="100" s="1"/>
  <c r="I44" i="101"/>
  <c r="I43" i="101"/>
  <c r="I42" i="101"/>
  <c r="I41" i="101"/>
  <c r="E26" i="100" s="1"/>
  <c r="I39" i="101"/>
  <c r="F49" i="101"/>
  <c r="H45" i="101"/>
  <c r="E59" i="100" s="1"/>
  <c r="H44" i="101"/>
  <c r="H43" i="101"/>
  <c r="H42" i="101"/>
  <c r="E38" i="100" s="1"/>
  <c r="H41" i="101"/>
  <c r="E32" i="100" s="1"/>
  <c r="H39" i="101"/>
  <c r="E13" i="100" s="1"/>
  <c r="G47" i="101"/>
  <c r="G45" i="101"/>
  <c r="E55" i="100" s="1"/>
  <c r="G44" i="101"/>
  <c r="E50" i="100" s="1"/>
  <c r="G43" i="101"/>
  <c r="G42" i="101"/>
  <c r="G41" i="101"/>
  <c r="E28" i="100" s="1"/>
  <c r="G39" i="101"/>
  <c r="E12" i="100" s="1"/>
  <c r="F45" i="101"/>
  <c r="F44" i="101"/>
  <c r="F43" i="101"/>
  <c r="F42" i="101"/>
  <c r="F41" i="101"/>
  <c r="F39" i="101"/>
  <c r="E10" i="109"/>
  <c r="I10" i="109" s="1"/>
  <c r="E9" i="104" s="1"/>
  <c r="E45" i="101"/>
  <c r="E44" i="101"/>
  <c r="E43" i="101"/>
  <c r="E42" i="101"/>
  <c r="E41" i="101"/>
  <c r="E39" i="101"/>
  <c r="M9" i="101"/>
  <c r="M13" i="101"/>
  <c r="M12" i="101"/>
  <c r="M11" i="101"/>
  <c r="M10" i="101"/>
  <c r="D45" i="101"/>
  <c r="E51" i="100" s="1"/>
  <c r="D44" i="101"/>
  <c r="D43" i="101"/>
  <c r="D41" i="101"/>
  <c r="E24" i="100" s="1"/>
  <c r="D42" i="101"/>
  <c r="E35" i="100" s="1"/>
  <c r="D39" i="101"/>
  <c r="E11" i="100" s="1"/>
  <c r="M14" i="101"/>
  <c r="M15" i="101"/>
  <c r="M16" i="101"/>
  <c r="M17" i="101"/>
  <c r="M18" i="101"/>
  <c r="M19" i="101"/>
  <c r="M20" i="101"/>
  <c r="M21" i="101"/>
  <c r="M22" i="101"/>
  <c r="M23" i="101"/>
  <c r="M25" i="101"/>
  <c r="M24" i="101"/>
  <c r="M26" i="101"/>
  <c r="M27" i="101"/>
  <c r="M28" i="101"/>
  <c r="M29" i="101"/>
  <c r="M30" i="101"/>
  <c r="M31" i="101"/>
  <c r="M32" i="101"/>
  <c r="M33" i="101"/>
  <c r="C47" i="101"/>
  <c r="P9" i="101"/>
  <c r="S9" i="101" s="1"/>
  <c r="P10" i="101"/>
  <c r="S10" i="101" s="1"/>
  <c r="P12" i="101"/>
  <c r="S12" i="101" s="1"/>
  <c r="P13" i="101"/>
  <c r="S13" i="101" s="1"/>
  <c r="P14" i="101"/>
  <c r="S14" i="101" s="1"/>
  <c r="P15" i="101"/>
  <c r="S15" i="101" s="1"/>
  <c r="P16" i="101"/>
  <c r="S16" i="101" s="1"/>
  <c r="P17" i="101"/>
  <c r="S17" i="101" s="1"/>
  <c r="P18" i="101"/>
  <c r="S18" i="101" s="1"/>
  <c r="P19" i="101"/>
  <c r="S19" i="101" s="1"/>
  <c r="S20" i="101"/>
  <c r="P21" i="101"/>
  <c r="S21" i="101" s="1"/>
  <c r="P22" i="101"/>
  <c r="S22" i="101" s="1"/>
  <c r="S23" i="101"/>
  <c r="P25" i="101"/>
  <c r="S25" i="101" s="1"/>
  <c r="P24" i="101"/>
  <c r="S24" i="101" s="1"/>
  <c r="P26" i="101"/>
  <c r="P27" i="101"/>
  <c r="S27" i="101" s="1"/>
  <c r="P28" i="101"/>
  <c r="S28" i="101" s="1"/>
  <c r="P29" i="101"/>
  <c r="S29" i="101" s="1"/>
  <c r="P31" i="101"/>
  <c r="S31" i="101" s="1"/>
  <c r="P32" i="101"/>
  <c r="S32" i="101" s="1"/>
  <c r="P33" i="101"/>
  <c r="S33" i="101" s="1"/>
  <c r="C45" i="101"/>
  <c r="C44" i="101"/>
  <c r="C43" i="101"/>
  <c r="C42" i="101"/>
  <c r="E33" i="100" s="1"/>
  <c r="C39" i="101"/>
  <c r="E10" i="100" s="1"/>
  <c r="C41" i="101"/>
  <c r="E22" i="100" s="1"/>
  <c r="P30" i="101"/>
  <c r="S30" i="101" s="1"/>
  <c r="S26" i="101" l="1"/>
  <c r="K40" i="101"/>
  <c r="E20" i="100" s="1"/>
  <c r="E36" i="100"/>
  <c r="P93" i="149"/>
  <c r="Q93" i="149" s="1"/>
  <c r="R93" i="149" s="1"/>
  <c r="N93" i="149"/>
  <c r="O94" i="149" s="1"/>
  <c r="E25" i="100"/>
  <c r="E11" i="109"/>
  <c r="I11" i="109" s="1"/>
  <c r="E49" i="100"/>
  <c r="P49" i="101"/>
  <c r="E52" i="100"/>
  <c r="E18" i="109"/>
  <c r="R35" i="101"/>
  <c r="P39" i="101"/>
  <c r="P42" i="101"/>
  <c r="P44" i="101"/>
  <c r="P45" i="101"/>
  <c r="P41" i="101"/>
  <c r="G40" i="101"/>
  <c r="E19" i="100" s="1"/>
  <c r="E21" i="100"/>
  <c r="J40" i="101"/>
  <c r="E18" i="100" s="1"/>
  <c r="E40" i="101"/>
  <c r="F40" i="101"/>
  <c r="I40" i="101"/>
  <c r="E17" i="100" s="1"/>
  <c r="L40" i="101"/>
  <c r="M40" i="101"/>
  <c r="M52" i="101" s="1"/>
  <c r="D40" i="101"/>
  <c r="O52" i="101"/>
  <c r="C40" i="101"/>
  <c r="E14" i="100" s="1"/>
  <c r="E15" i="150"/>
  <c r="G12" i="159"/>
  <c r="D33" i="159" s="1"/>
  <c r="G16" i="158"/>
  <c r="G14" i="158"/>
  <c r="E121" i="158" s="1"/>
  <c r="D46" i="111"/>
  <c r="F24" i="97"/>
  <c r="E230" i="163"/>
  <c r="N174" i="163"/>
  <c r="O174" i="163" s="1"/>
  <c r="G174" i="163"/>
  <c r="G175" i="163" s="1"/>
  <c r="J163" i="163"/>
  <c r="L163" i="163" s="1"/>
  <c r="M163" i="163" s="1"/>
  <c r="M164" i="163" s="1"/>
  <c r="D83" i="163"/>
  <c r="E83" i="163" s="1"/>
  <c r="F83" i="163" s="1"/>
  <c r="G83" i="163" s="1"/>
  <c r="K21" i="150"/>
  <c r="K20" i="150"/>
  <c r="K16" i="150"/>
  <c r="K12" i="150"/>
  <c r="C65" i="101"/>
  <c r="E73" i="100" s="1"/>
  <c r="N163" i="163" l="1"/>
  <c r="N164" i="163" s="1"/>
  <c r="O175" i="163"/>
  <c r="P174" i="163"/>
  <c r="P175" i="163" s="1"/>
  <c r="E125" i="158"/>
  <c r="H16" i="158"/>
  <c r="H14" i="158"/>
  <c r="N94" i="149"/>
  <c r="P94" i="149"/>
  <c r="Q94" i="149" s="1"/>
  <c r="R94" i="149" s="1"/>
  <c r="P47" i="101"/>
  <c r="J52" i="101"/>
  <c r="L49" i="111"/>
  <c r="L61" i="111" s="1"/>
  <c r="I46" i="111"/>
  <c r="J47" i="111"/>
  <c r="J59" i="111" s="1"/>
  <c r="D58" i="111"/>
  <c r="K48" i="111"/>
  <c r="E52" i="101"/>
  <c r="E16" i="100"/>
  <c r="D52" i="101"/>
  <c r="E15" i="100"/>
  <c r="K18" i="150"/>
  <c r="K19" i="150"/>
  <c r="K17" i="150"/>
  <c r="K15" i="150"/>
  <c r="K14" i="150"/>
  <c r="K13" i="150"/>
  <c r="P40" i="101"/>
  <c r="K60" i="111" l="1"/>
  <c r="N48" i="111"/>
  <c r="N60" i="111" s="1"/>
  <c r="O60" i="111" s="1"/>
  <c r="I58" i="111"/>
  <c r="M46" i="111"/>
  <c r="M58" i="111" s="1"/>
  <c r="O58" i="111" s="1"/>
  <c r="F52" i="101"/>
  <c r="K52" i="101"/>
  <c r="O62" i="111" l="1"/>
  <c r="F37" i="111" s="1"/>
  <c r="F138" i="159"/>
  <c r="F137" i="159"/>
  <c r="M121" i="159"/>
  <c r="M120" i="159"/>
  <c r="H99" i="159"/>
  <c r="H98" i="159"/>
  <c r="I83" i="159"/>
  <c r="I82" i="159"/>
  <c r="F67" i="159"/>
  <c r="F66" i="159"/>
  <c r="C6" i="161" l="1"/>
  <c r="E24" i="151" l="1"/>
  <c r="C88" i="101" l="1"/>
  <c r="C89" i="101" s="1"/>
  <c r="C91" i="101" s="1"/>
  <c r="I79" i="101" s="1"/>
  <c r="N43" i="101" l="1"/>
  <c r="E40" i="100" s="1"/>
  <c r="J79" i="101"/>
  <c r="E66" i="100"/>
  <c r="I52" i="101"/>
  <c r="L52" i="101"/>
  <c r="P43" i="101" l="1"/>
  <c r="N52" i="101"/>
  <c r="H52" i="101"/>
  <c r="D58" i="151"/>
  <c r="D24" i="151"/>
  <c r="F24" i="151" s="1"/>
  <c r="D57" i="151" l="1"/>
  <c r="G146" i="158"/>
  <c r="G144" i="158"/>
  <c r="J74" i="158"/>
  <c r="J70" i="158"/>
  <c r="J73" i="158"/>
  <c r="F19" i="155" l="1"/>
  <c r="F17" i="155"/>
  <c r="F23" i="155"/>
  <c r="F13" i="155"/>
  <c r="F14" i="155"/>
  <c r="F15" i="155"/>
  <c r="F16" i="155"/>
  <c r="F18" i="155"/>
  <c r="F11" i="155"/>
  <c r="B4" i="164" l="1"/>
  <c r="I26" i="104" l="1"/>
  <c r="L26" i="104" s="1"/>
  <c r="H26" i="104"/>
  <c r="K26" i="104" s="1"/>
  <c r="G26" i="104"/>
  <c r="J26" i="104" s="1"/>
  <c r="M26" i="104" l="1"/>
  <c r="P56" i="104" l="1"/>
  <c r="O56" i="104"/>
  <c r="Q56" i="104" s="1"/>
  <c r="N266" i="163"/>
  <c r="O266" i="163" s="1"/>
  <c r="N267" i="163"/>
  <c r="O267" i="163" s="1"/>
  <c r="N268" i="163"/>
  <c r="O268" i="163" s="1"/>
  <c r="G267" i="163"/>
  <c r="G268" i="163"/>
  <c r="L230" i="163"/>
  <c r="L231" i="163"/>
  <c r="M231" i="163" s="1"/>
  <c r="F84" i="163"/>
  <c r="F85" i="163"/>
  <c r="G85" i="163" s="1"/>
  <c r="G269" i="163" l="1"/>
  <c r="O269" i="163"/>
  <c r="M230" i="163"/>
  <c r="M232" i="163" s="1"/>
  <c r="L232" i="163"/>
  <c r="G84" i="163"/>
  <c r="G86" i="163" s="1"/>
  <c r="F86" i="163"/>
  <c r="N269" i="163"/>
  <c r="M56" i="104"/>
  <c r="H36" i="128"/>
  <c r="E35" i="163"/>
  <c r="G14" i="163"/>
  <c r="B4" i="163"/>
  <c r="B4" i="162"/>
  <c r="I14" i="163" l="1"/>
  <c r="F50" i="128" s="1"/>
  <c r="J63" i="100"/>
  <c r="N63" i="100" s="1"/>
  <c r="L63" i="100"/>
  <c r="P63" i="100" s="1"/>
  <c r="J14" i="163" l="1"/>
  <c r="H63" i="100"/>
  <c r="K63" i="100" l="1"/>
  <c r="O63" i="100" s="1"/>
  <c r="Q63" i="100" s="1"/>
  <c r="J65" i="100"/>
  <c r="N65" i="100" s="1"/>
  <c r="O65" i="100"/>
  <c r="L65" i="100"/>
  <c r="P65" i="100" s="1"/>
  <c r="J66" i="100"/>
  <c r="N66" i="100" s="1"/>
  <c r="O66" i="100"/>
  <c r="P66" i="100"/>
  <c r="M63" i="100" l="1"/>
  <c r="Q65" i="100"/>
  <c r="Q66" i="100"/>
  <c r="H16" i="159" l="1"/>
  <c r="D55" i="151"/>
  <c r="K6" i="161" l="1"/>
  <c r="K5" i="161"/>
  <c r="K4" i="161"/>
  <c r="C5" i="161"/>
  <c r="M66" i="100"/>
  <c r="J72" i="100" l="1"/>
  <c r="N72" i="100" s="1"/>
  <c r="K72" i="100"/>
  <c r="O72" i="100" s="1"/>
  <c r="L72" i="100"/>
  <c r="P72" i="100" s="1"/>
  <c r="C66" i="101"/>
  <c r="E74" i="100" s="1"/>
  <c r="Q72" i="100" l="1"/>
  <c r="M72" i="100"/>
  <c r="G25" i="128" l="1"/>
  <c r="H6" i="128"/>
  <c r="H5" i="128"/>
  <c r="H4" i="128"/>
  <c r="C6" i="128"/>
  <c r="G13" i="159" l="1"/>
  <c r="E48" i="159" s="1"/>
  <c r="G15" i="159"/>
  <c r="F13" i="159"/>
  <c r="D48" i="159" s="1"/>
  <c r="F15" i="159"/>
  <c r="D51" i="159" s="1"/>
  <c r="E52" i="158"/>
  <c r="E81" i="158" s="1"/>
  <c r="J81" i="158" l="1"/>
  <c r="H13" i="158"/>
  <c r="H12" i="158"/>
  <c r="E54" i="158" l="1"/>
  <c r="G147" i="158"/>
  <c r="J82" i="100"/>
  <c r="L81" i="100"/>
  <c r="J81" i="100"/>
  <c r="L80" i="100"/>
  <c r="J80" i="100"/>
  <c r="L79" i="100"/>
  <c r="J79" i="100"/>
  <c r="J78" i="100"/>
  <c r="J77" i="100"/>
  <c r="M77" i="100" s="1"/>
  <c r="J60" i="100"/>
  <c r="N60" i="100" s="1"/>
  <c r="L60" i="100"/>
  <c r="P60" i="100" s="1"/>
  <c r="M78" i="100" l="1"/>
  <c r="M81" i="100"/>
  <c r="M79" i="100"/>
  <c r="M82" i="100"/>
  <c r="M80" i="100"/>
  <c r="L64" i="100"/>
  <c r="P64" i="100" s="1"/>
  <c r="O64" i="100"/>
  <c r="J64" i="100"/>
  <c r="N64" i="100" s="1"/>
  <c r="Q64" i="100" l="1"/>
  <c r="M65" i="100"/>
  <c r="M64" i="100"/>
  <c r="J21" i="132" l="1"/>
  <c r="J22" i="132" s="1"/>
  <c r="J23" i="132" s="1"/>
  <c r="J17" i="132"/>
  <c r="J18" i="132" s="1"/>
  <c r="J19" i="132" s="1"/>
  <c r="J25" i="132" l="1"/>
  <c r="E18" i="150"/>
  <c r="E52" i="150"/>
  <c r="E54" i="150" s="1"/>
  <c r="E48" i="150"/>
  <c r="E50" i="150" s="1"/>
  <c r="E45" i="150"/>
  <c r="E46" i="150" s="1"/>
  <c r="B6" i="111"/>
  <c r="B6" i="155"/>
  <c r="B5" i="159"/>
  <c r="B5" i="158"/>
  <c r="B5" i="97"/>
  <c r="B5" i="151"/>
  <c r="B5" i="150"/>
  <c r="B5" i="149"/>
  <c r="B4" i="104"/>
  <c r="B3" i="104"/>
  <c r="B4" i="100"/>
  <c r="B3" i="100"/>
  <c r="B4" i="109"/>
  <c r="B4" i="101"/>
  <c r="B3" i="101"/>
  <c r="C5" i="128"/>
  <c r="B5" i="132"/>
  <c r="E56" i="150" l="1"/>
  <c r="J62" i="100"/>
  <c r="N62" i="100" s="1"/>
  <c r="O62" i="100"/>
  <c r="L62" i="100"/>
  <c r="P62" i="100" s="1"/>
  <c r="O60" i="100"/>
  <c r="Q60" i="100" s="1"/>
  <c r="F29" i="128" s="1"/>
  <c r="L46" i="161"/>
  <c r="K46" i="161"/>
  <c r="J46" i="161"/>
  <c r="I46" i="161"/>
  <c r="H46" i="161"/>
  <c r="G46" i="161"/>
  <c r="F46" i="161"/>
  <c r="E46" i="161"/>
  <c r="Q62" i="100" l="1"/>
  <c r="G13" i="128"/>
  <c r="M60" i="100"/>
  <c r="M62" i="100"/>
  <c r="H48" i="128" l="1"/>
  <c r="G306" i="158"/>
  <c r="G303" i="158"/>
  <c r="M291" i="158"/>
  <c r="M288" i="158"/>
  <c r="I272" i="158"/>
  <c r="I269" i="158"/>
  <c r="E257" i="158"/>
  <c r="I256" i="158"/>
  <c r="I255" i="158"/>
  <c r="I254" i="158"/>
  <c r="I253" i="158"/>
  <c r="I252" i="158"/>
  <c r="E249" i="158"/>
  <c r="I248" i="158"/>
  <c r="I247" i="158"/>
  <c r="I246" i="158"/>
  <c r="I245" i="158"/>
  <c r="E207" i="158"/>
  <c r="J206" i="158"/>
  <c r="J205" i="158"/>
  <c r="J204" i="158"/>
  <c r="J203" i="158"/>
  <c r="J202" i="158"/>
  <c r="J201" i="158"/>
  <c r="J198" i="158"/>
  <c r="J197" i="158"/>
  <c r="J196" i="158"/>
  <c r="J195" i="158"/>
  <c r="E182" i="158"/>
  <c r="H181" i="158"/>
  <c r="J181" i="158" s="1"/>
  <c r="H180" i="158"/>
  <c r="J180" i="158" s="1"/>
  <c r="H179" i="158"/>
  <c r="J179" i="158" s="1"/>
  <c r="H178" i="158"/>
  <c r="J178" i="158" s="1"/>
  <c r="H177" i="158"/>
  <c r="J177" i="158" s="1"/>
  <c r="H174" i="158"/>
  <c r="J174" i="158" s="1"/>
  <c r="H173" i="158"/>
  <c r="J173" i="158" s="1"/>
  <c r="H172" i="158"/>
  <c r="J172" i="158" s="1"/>
  <c r="L53" i="159"/>
  <c r="L52" i="159"/>
  <c r="G36" i="159"/>
  <c r="G35" i="159"/>
  <c r="G34" i="159"/>
  <c r="E51" i="159"/>
  <c r="G11" i="159"/>
  <c r="D32" i="159" s="1"/>
  <c r="G32" i="159" s="1"/>
  <c r="F11" i="159"/>
  <c r="F12" i="159"/>
  <c r="G10" i="159"/>
  <c r="E49" i="159" s="1"/>
  <c r="F10" i="159"/>
  <c r="D49" i="159" s="1"/>
  <c r="J199" i="158" l="1"/>
  <c r="G17" i="161"/>
  <c r="G32" i="161" s="1"/>
  <c r="H11" i="159"/>
  <c r="I273" i="158"/>
  <c r="G23" i="158" s="1"/>
  <c r="G307" i="158"/>
  <c r="I23" i="158" s="1"/>
  <c r="E258" i="158"/>
  <c r="M292" i="158"/>
  <c r="H23" i="158" s="1"/>
  <c r="E208" i="158"/>
  <c r="J207" i="158"/>
  <c r="I249" i="158"/>
  <c r="E183" i="158"/>
  <c r="I257" i="158"/>
  <c r="J257" i="158"/>
  <c r="J182" i="158"/>
  <c r="J171" i="158"/>
  <c r="J175" i="158" s="1"/>
  <c r="L51" i="159"/>
  <c r="L50" i="159"/>
  <c r="H12" i="159"/>
  <c r="H13" i="159"/>
  <c r="L48" i="159"/>
  <c r="H15" i="159"/>
  <c r="H10" i="159"/>
  <c r="G33" i="159"/>
  <c r="J208" i="158" l="1"/>
  <c r="E21" i="158" s="1"/>
  <c r="D64" i="159"/>
  <c r="F64" i="159" s="1"/>
  <c r="D65" i="159"/>
  <c r="F65" i="159" s="1"/>
  <c r="D136" i="159"/>
  <c r="F136" i="159" s="1"/>
  <c r="D97" i="159"/>
  <c r="H97" i="159" s="1"/>
  <c r="D81" i="159"/>
  <c r="I81" i="159" s="1"/>
  <c r="D119" i="159"/>
  <c r="M119" i="159" s="1"/>
  <c r="D62" i="159"/>
  <c r="F62" i="159" s="1"/>
  <c r="D133" i="159"/>
  <c r="F133" i="159" s="1"/>
  <c r="D94" i="159"/>
  <c r="H94" i="159" s="1"/>
  <c r="D116" i="159"/>
  <c r="M116" i="159" s="1"/>
  <c r="D78" i="159"/>
  <c r="I78" i="159" s="1"/>
  <c r="D96" i="159"/>
  <c r="H96" i="159" s="1"/>
  <c r="D80" i="159"/>
  <c r="I80" i="159" s="1"/>
  <c r="D118" i="159"/>
  <c r="M118" i="159" s="1"/>
  <c r="D135" i="159"/>
  <c r="F135" i="159" s="1"/>
  <c r="D79" i="159"/>
  <c r="I79" i="159" s="1"/>
  <c r="D95" i="159"/>
  <c r="H95" i="159" s="1"/>
  <c r="D134" i="159"/>
  <c r="F134" i="159" s="1"/>
  <c r="D63" i="159"/>
  <c r="D117" i="159"/>
  <c r="M117" i="159" s="1"/>
  <c r="J23" i="158"/>
  <c r="L49" i="159"/>
  <c r="L54" i="159" s="1"/>
  <c r="I258" i="158"/>
  <c r="J183" i="158"/>
  <c r="J258" i="158"/>
  <c r="F23" i="158" s="1"/>
  <c r="D37" i="159"/>
  <c r="G37" i="159"/>
  <c r="D21" i="159" l="1"/>
  <c r="F21" i="159" s="1"/>
  <c r="F68" i="159"/>
  <c r="F139" i="159"/>
  <c r="F140" i="159" s="1"/>
  <c r="H100" i="159"/>
  <c r="H101" i="159" s="1"/>
  <c r="G23" i="159" s="1"/>
  <c r="I84" i="159"/>
  <c r="I85" i="159" s="1"/>
  <c r="F23" i="159" s="1"/>
  <c r="M122" i="159"/>
  <c r="M123" i="159" s="1"/>
  <c r="H23" i="159" s="1"/>
  <c r="D68" i="159"/>
  <c r="K23" i="158"/>
  <c r="L23" i="158" s="1"/>
  <c r="J21" i="159"/>
  <c r="I23" i="159" l="1"/>
  <c r="J23" i="159" s="1"/>
  <c r="K23" i="159" s="1"/>
  <c r="L23" i="159" s="1"/>
  <c r="K21" i="159"/>
  <c r="L21" i="159" s="1"/>
  <c r="K22" i="158"/>
  <c r="G157" i="158"/>
  <c r="E157" i="158"/>
  <c r="E133" i="158"/>
  <c r="I132" i="158"/>
  <c r="I131" i="158"/>
  <c r="I130" i="158"/>
  <c r="I129" i="158"/>
  <c r="I128" i="158"/>
  <c r="I127" i="158"/>
  <c r="I124" i="158"/>
  <c r="I123" i="158"/>
  <c r="I122" i="158"/>
  <c r="I121" i="158"/>
  <c r="E83" i="158"/>
  <c r="E84" i="158" s="1"/>
  <c r="J82" i="158"/>
  <c r="J80" i="158"/>
  <c r="J79" i="158"/>
  <c r="J78" i="158"/>
  <c r="J77" i="158"/>
  <c r="H53" i="158"/>
  <c r="J53" i="158" s="1"/>
  <c r="H52" i="158"/>
  <c r="J52" i="158" s="1"/>
  <c r="H51" i="158"/>
  <c r="J51" i="158" s="1"/>
  <c r="H50" i="158"/>
  <c r="J50" i="158" s="1"/>
  <c r="H49" i="158"/>
  <c r="J49" i="158" s="1"/>
  <c r="H48" i="158"/>
  <c r="J48" i="158" s="1"/>
  <c r="H45" i="158"/>
  <c r="J45" i="158" s="1"/>
  <c r="H44" i="158"/>
  <c r="J44" i="158" s="1"/>
  <c r="H43" i="158"/>
  <c r="J43" i="158" s="1"/>
  <c r="H42" i="158"/>
  <c r="J42" i="158" s="1"/>
  <c r="H41" i="158"/>
  <c r="J41" i="158" s="1"/>
  <c r="H40" i="158"/>
  <c r="J40" i="158" s="1"/>
  <c r="H39" i="158"/>
  <c r="H38" i="158"/>
  <c r="H37" i="158"/>
  <c r="J37" i="158" s="1"/>
  <c r="H36" i="158"/>
  <c r="J36" i="158" s="1"/>
  <c r="K20" i="159" l="1"/>
  <c r="K22" i="159"/>
  <c r="L22" i="159"/>
  <c r="L20" i="159"/>
  <c r="I125" i="158"/>
  <c r="J83" i="158"/>
  <c r="E134" i="158"/>
  <c r="J75" i="158"/>
  <c r="I133" i="158"/>
  <c r="J54" i="158"/>
  <c r="J133" i="158"/>
  <c r="J84" i="158" l="1"/>
  <c r="I134" i="158"/>
  <c r="J134" i="158"/>
  <c r="L22" i="158" l="1"/>
  <c r="D21" i="111" l="1"/>
  <c r="I21" i="111" s="1"/>
  <c r="M21" i="111" s="1"/>
  <c r="M25" i="111" s="1"/>
  <c r="O25" i="111" s="1"/>
  <c r="O28" i="111"/>
  <c r="G37" i="155" l="1"/>
  <c r="G36" i="155"/>
  <c r="L36" i="155" s="1"/>
  <c r="G35" i="155"/>
  <c r="G34" i="155"/>
  <c r="L34" i="155" s="1"/>
  <c r="G33" i="155"/>
  <c r="G32" i="155"/>
  <c r="L32" i="155" s="1"/>
  <c r="G31" i="155"/>
  <c r="L31" i="155" s="1"/>
  <c r="G30" i="155"/>
  <c r="L30" i="155" s="1"/>
  <c r="H43" i="97"/>
  <c r="L43" i="97" s="1"/>
  <c r="H44" i="97"/>
  <c r="H45" i="97"/>
  <c r="L45" i="97" s="1"/>
  <c r="H46" i="97"/>
  <c r="L46" i="97" s="1"/>
  <c r="H47" i="97"/>
  <c r="L47" i="97" s="1"/>
  <c r="H48" i="97"/>
  <c r="L48" i="97" s="1"/>
  <c r="A33" i="97"/>
  <c r="A34" i="97"/>
  <c r="A35" i="97"/>
  <c r="A36" i="97"/>
  <c r="A37" i="97"/>
  <c r="A38" i="97"/>
  <c r="A39" i="97"/>
  <c r="A40" i="97"/>
  <c r="A41" i="97"/>
  <c r="A42" i="97"/>
  <c r="A43" i="97"/>
  <c r="A44" i="97"/>
  <c r="A45" i="97"/>
  <c r="A46" i="97"/>
  <c r="A47" i="97"/>
  <c r="A48" i="97"/>
  <c r="A32" i="97"/>
  <c r="F41" i="97"/>
  <c r="F39" i="97"/>
  <c r="I39" i="97" s="1"/>
  <c r="M39" i="97" s="1"/>
  <c r="F36" i="97"/>
  <c r="F37" i="97"/>
  <c r="F35" i="97"/>
  <c r="F33" i="97"/>
  <c r="F34" i="97"/>
  <c r="Q34" i="97" s="1"/>
  <c r="R34" i="97" s="1"/>
  <c r="F40" i="97"/>
  <c r="F42" i="97"/>
  <c r="I42" i="97" s="1"/>
  <c r="M42" i="97" s="1"/>
  <c r="F43" i="97"/>
  <c r="F44" i="97"/>
  <c r="F45" i="97"/>
  <c r="F46" i="97"/>
  <c r="Q46" i="97" s="1"/>
  <c r="R46" i="97" s="1"/>
  <c r="F47" i="97"/>
  <c r="I47" i="97" s="1"/>
  <c r="F48" i="97"/>
  <c r="I48" i="97" s="1"/>
  <c r="F32" i="97"/>
  <c r="H42" i="97"/>
  <c r="L42" i="97" s="1"/>
  <c r="H41" i="97"/>
  <c r="L41" i="97" s="1"/>
  <c r="H40" i="97"/>
  <c r="L40" i="97" s="1"/>
  <c r="H39" i="97"/>
  <c r="L39" i="97" s="1"/>
  <c r="H38" i="97"/>
  <c r="L38" i="97" s="1"/>
  <c r="H37" i="97"/>
  <c r="L37" i="97" s="1"/>
  <c r="H36" i="97"/>
  <c r="L36" i="97" s="1"/>
  <c r="H35" i="97"/>
  <c r="H34" i="97"/>
  <c r="L34" i="97" s="1"/>
  <c r="H33" i="97"/>
  <c r="L33" i="97" s="1"/>
  <c r="H32" i="97"/>
  <c r="F15" i="97"/>
  <c r="Q15" i="97" s="1"/>
  <c r="R15" i="97" s="1"/>
  <c r="F16" i="97"/>
  <c r="Q16" i="97" s="1"/>
  <c r="R16" i="97" s="1"/>
  <c r="F17" i="97"/>
  <c r="F18" i="97"/>
  <c r="I18" i="97" s="1"/>
  <c r="M18" i="97" s="1"/>
  <c r="F19" i="97"/>
  <c r="Q19" i="97" s="1"/>
  <c r="R19" i="97" s="1"/>
  <c r="F20" i="97"/>
  <c r="Q20" i="97" s="1"/>
  <c r="R20" i="97" s="1"/>
  <c r="F21" i="97"/>
  <c r="F22" i="97"/>
  <c r="I22" i="97" s="1"/>
  <c r="M22" i="97" s="1"/>
  <c r="F23" i="97"/>
  <c r="F25" i="97"/>
  <c r="F26" i="97"/>
  <c r="F27" i="97"/>
  <c r="F14" i="97"/>
  <c r="Q17" i="97" l="1"/>
  <c r="R17" i="97" s="1"/>
  <c r="I17" i="97"/>
  <c r="I34" i="97"/>
  <c r="M34" i="97" s="1"/>
  <c r="G12" i="155"/>
  <c r="H12" i="155" s="1"/>
  <c r="G13" i="155"/>
  <c r="H13" i="155" s="1"/>
  <c r="G19" i="155"/>
  <c r="H19" i="155" s="1"/>
  <c r="G21" i="155"/>
  <c r="H21" i="155" s="1"/>
  <c r="G15" i="155"/>
  <c r="H15" i="155" s="1"/>
  <c r="G17" i="155"/>
  <c r="H17" i="155" s="1"/>
  <c r="G23" i="155"/>
  <c r="H23" i="155" s="1"/>
  <c r="L35" i="97"/>
  <c r="I44" i="97"/>
  <c r="M44" i="97" s="1"/>
  <c r="Q44" i="97"/>
  <c r="R44" i="97" s="1"/>
  <c r="I43" i="97"/>
  <c r="M43" i="97" s="1"/>
  <c r="Q43" i="97"/>
  <c r="R43" i="97" s="1"/>
  <c r="L32" i="97"/>
  <c r="I40" i="97"/>
  <c r="M40" i="97" s="1"/>
  <c r="Q40" i="97"/>
  <c r="R40" i="97" s="1"/>
  <c r="I36" i="97"/>
  <c r="M36" i="97" s="1"/>
  <c r="Q36" i="97"/>
  <c r="R36" i="97" s="1"/>
  <c r="L44" i="97"/>
  <c r="I38" i="97"/>
  <c r="M38" i="97" s="1"/>
  <c r="Q38" i="97"/>
  <c r="R38" i="97" s="1"/>
  <c r="I45" i="97"/>
  <c r="M45" i="97" s="1"/>
  <c r="Q45" i="97"/>
  <c r="R45" i="97" s="1"/>
  <c r="I41" i="97"/>
  <c r="M41" i="97" s="1"/>
  <c r="Q41" i="97"/>
  <c r="R41" i="97" s="1"/>
  <c r="I14" i="97"/>
  <c r="Q14" i="97"/>
  <c r="R14" i="97" s="1"/>
  <c r="I32" i="97"/>
  <c r="M32" i="97" s="1"/>
  <c r="Q32" i="97"/>
  <c r="I37" i="97"/>
  <c r="M37" i="97" s="1"/>
  <c r="Q37" i="97"/>
  <c r="R37" i="97" s="1"/>
  <c r="I33" i="97"/>
  <c r="M33" i="97" s="1"/>
  <c r="Q33" i="97"/>
  <c r="R33" i="97" s="1"/>
  <c r="I35" i="97"/>
  <c r="M35" i="97" s="1"/>
  <c r="Q35" i="97"/>
  <c r="R35" i="97" s="1"/>
  <c r="G11" i="155"/>
  <c r="H11" i="155" s="1"/>
  <c r="L35" i="155"/>
  <c r="L33" i="155"/>
  <c r="G14" i="155" s="1"/>
  <c r="L37" i="155"/>
  <c r="G18" i="155" s="1"/>
  <c r="H18" i="155" s="1"/>
  <c r="I46" i="97"/>
  <c r="M46" i="97" s="1"/>
  <c r="M48" i="97"/>
  <c r="M47" i="97"/>
  <c r="L49" i="97" l="1"/>
  <c r="M49" i="97"/>
  <c r="G16" i="155"/>
  <c r="H16" i="155" s="1"/>
  <c r="G22" i="155"/>
  <c r="H22" i="155" s="1"/>
  <c r="H14" i="155"/>
  <c r="G20" i="155"/>
  <c r="H20" i="155" s="1"/>
  <c r="R32" i="97"/>
  <c r="Q49" i="97" s="1"/>
  <c r="P49" i="97"/>
  <c r="H12" i="97"/>
  <c r="L12" i="97" s="1"/>
  <c r="J12" i="97"/>
  <c r="N12" i="97" s="1"/>
  <c r="H13" i="97"/>
  <c r="L13" i="97" s="1"/>
  <c r="J13" i="97"/>
  <c r="N13" i="97" s="1"/>
  <c r="H14" i="97"/>
  <c r="L14" i="97" s="1"/>
  <c r="M14" i="97"/>
  <c r="J14" i="97"/>
  <c r="N14" i="97" s="1"/>
  <c r="H15" i="97"/>
  <c r="L15" i="97" s="1"/>
  <c r="I15" i="97"/>
  <c r="M15" i="97" s="1"/>
  <c r="J15" i="97"/>
  <c r="N15" i="97" s="1"/>
  <c r="H16" i="97"/>
  <c r="L16" i="97" s="1"/>
  <c r="I16" i="97"/>
  <c r="J16" i="97"/>
  <c r="N16" i="97" s="1"/>
  <c r="H17" i="97"/>
  <c r="L17" i="97" s="1"/>
  <c r="M17" i="97"/>
  <c r="N17" i="97"/>
  <c r="H18" i="97"/>
  <c r="L18" i="97" s="1"/>
  <c r="J18" i="97"/>
  <c r="N18" i="97" s="1"/>
  <c r="H19" i="97"/>
  <c r="L19" i="97" s="1"/>
  <c r="I19" i="97"/>
  <c r="J19" i="97"/>
  <c r="N19" i="97" s="1"/>
  <c r="H20" i="97"/>
  <c r="L20" i="97" s="1"/>
  <c r="I20" i="97"/>
  <c r="J20" i="97"/>
  <c r="N20" i="97" s="1"/>
  <c r="H21" i="97"/>
  <c r="L21" i="97" s="1"/>
  <c r="I21" i="97"/>
  <c r="J21" i="97"/>
  <c r="N21" i="97" s="1"/>
  <c r="H22" i="97"/>
  <c r="L22" i="97" s="1"/>
  <c r="J22" i="97"/>
  <c r="N22" i="97" s="1"/>
  <c r="H23" i="97"/>
  <c r="L23" i="97" s="1"/>
  <c r="I23" i="97"/>
  <c r="J23" i="97"/>
  <c r="N23" i="97" s="1"/>
  <c r="H24" i="97"/>
  <c r="L24" i="97" s="1"/>
  <c r="I24" i="97"/>
  <c r="J24" i="97"/>
  <c r="N24" i="97" s="1"/>
  <c r="H25" i="97"/>
  <c r="L25" i="97" s="1"/>
  <c r="I25" i="97"/>
  <c r="J25" i="97"/>
  <c r="N25" i="97" s="1"/>
  <c r="H26" i="97"/>
  <c r="L26" i="97" s="1"/>
  <c r="I26" i="97"/>
  <c r="M26" i="97" s="1"/>
  <c r="J26" i="97"/>
  <c r="N26" i="97" s="1"/>
  <c r="H27" i="97"/>
  <c r="L27" i="97" s="1"/>
  <c r="I27" i="97"/>
  <c r="J27" i="97"/>
  <c r="N27" i="97" s="1"/>
  <c r="J11" i="97"/>
  <c r="N11" i="97" s="1"/>
  <c r="H11" i="97"/>
  <c r="A12" i="97"/>
  <c r="A13" i="97"/>
  <c r="A14" i="97"/>
  <c r="A15" i="97"/>
  <c r="A16" i="97"/>
  <c r="A17" i="97"/>
  <c r="A18" i="97"/>
  <c r="A19" i="97"/>
  <c r="A20" i="97"/>
  <c r="A21" i="97"/>
  <c r="A22" i="97"/>
  <c r="A23" i="97"/>
  <c r="A24" i="97"/>
  <c r="A25" i="97"/>
  <c r="A26" i="97"/>
  <c r="A27" i="97"/>
  <c r="A11" i="97"/>
  <c r="F12" i="97"/>
  <c r="F11" i="97"/>
  <c r="L11" i="97" l="1"/>
  <c r="L28" i="97"/>
  <c r="N28" i="97"/>
  <c r="O18" i="97"/>
  <c r="O22" i="97"/>
  <c r="G24" i="155"/>
  <c r="H24" i="155"/>
  <c r="F58" i="128"/>
  <c r="I58" i="128" s="1"/>
  <c r="I11" i="97"/>
  <c r="M11" i="97" s="1"/>
  <c r="Q11" i="97"/>
  <c r="Q12" i="97"/>
  <c r="R12" i="97" s="1"/>
  <c r="I12" i="97"/>
  <c r="M12" i="97" s="1"/>
  <c r="O12" i="97" s="1"/>
  <c r="K15" i="97"/>
  <c r="K21" i="97"/>
  <c r="K23" i="97"/>
  <c r="K27" i="97"/>
  <c r="K19" i="97"/>
  <c r="K25" i="97"/>
  <c r="K17" i="97"/>
  <c r="K16" i="97"/>
  <c r="M19" i="97"/>
  <c r="O19" i="97" s="1"/>
  <c r="O13" i="97"/>
  <c r="K13" i="97"/>
  <c r="M23" i="97"/>
  <c r="O23" i="97" s="1"/>
  <c r="K18" i="97"/>
  <c r="K20" i="97"/>
  <c r="K22" i="97"/>
  <c r="K24" i="97"/>
  <c r="K26" i="97"/>
  <c r="K14" i="97"/>
  <c r="O17" i="97"/>
  <c r="O15" i="97"/>
  <c r="O26" i="97"/>
  <c r="O14" i="97"/>
  <c r="M27" i="97"/>
  <c r="O27" i="97" s="1"/>
  <c r="M24" i="97"/>
  <c r="O24" i="97" s="1"/>
  <c r="M21" i="97"/>
  <c r="O21" i="97" s="1"/>
  <c r="M25" i="97"/>
  <c r="O25" i="97" s="1"/>
  <c r="M20" i="97"/>
  <c r="O20" i="97" s="1"/>
  <c r="M16" i="97"/>
  <c r="O16" i="97" s="1"/>
  <c r="K11" i="97" l="1"/>
  <c r="O11" i="97"/>
  <c r="O28" i="97" s="1"/>
  <c r="M28" i="97"/>
  <c r="K12" i="97"/>
  <c r="R11" i="97"/>
  <c r="Q28" i="97" s="1"/>
  <c r="P28" i="97"/>
  <c r="F52" i="128"/>
  <c r="E15" i="128" s="1"/>
  <c r="I51" i="128"/>
  <c r="I50" i="128"/>
  <c r="I29" i="128"/>
  <c r="H52" i="128"/>
  <c r="E33" i="161" l="1"/>
  <c r="H33" i="161" s="1"/>
  <c r="I15" i="128"/>
  <c r="I52" i="128"/>
  <c r="H62" i="128"/>
  <c r="G20" i="161" l="1"/>
  <c r="H20" i="109" l="1"/>
  <c r="E50" i="149"/>
  <c r="E49" i="149"/>
  <c r="E48" i="149"/>
  <c r="E47" i="149"/>
  <c r="E46" i="149"/>
  <c r="E45" i="149"/>
  <c r="E44" i="149"/>
  <c r="E43" i="149"/>
  <c r="E42" i="149"/>
  <c r="E41" i="149"/>
  <c r="E21" i="149"/>
  <c r="E20" i="149"/>
  <c r="E19" i="149"/>
  <c r="E18" i="149"/>
  <c r="E17" i="149"/>
  <c r="E16" i="149"/>
  <c r="E15" i="149"/>
  <c r="E14" i="149"/>
  <c r="E13" i="149"/>
  <c r="D50" i="149" l="1"/>
  <c r="D49" i="149"/>
  <c r="D48" i="149"/>
  <c r="D47" i="149"/>
  <c r="D46" i="149"/>
  <c r="D45" i="149"/>
  <c r="D44" i="149"/>
  <c r="D43" i="149"/>
  <c r="D42" i="149"/>
  <c r="D41" i="149"/>
  <c r="D21" i="149"/>
  <c r="D20" i="149"/>
  <c r="D19" i="149"/>
  <c r="D18" i="149"/>
  <c r="D17" i="149"/>
  <c r="D16" i="149"/>
  <c r="D15" i="149"/>
  <c r="D14" i="149"/>
  <c r="D13" i="149"/>
  <c r="D12" i="149"/>
  <c r="E19" i="109"/>
  <c r="G52" i="101"/>
  <c r="E15" i="109"/>
  <c r="E17" i="109"/>
  <c r="E14" i="109" l="1"/>
  <c r="I17" i="109"/>
  <c r="E15" i="104" s="1"/>
  <c r="I18" i="109"/>
  <c r="E17" i="104" s="1"/>
  <c r="I19" i="109"/>
  <c r="E18" i="104" s="1"/>
  <c r="I15" i="109"/>
  <c r="E16" i="104" s="1"/>
  <c r="E12" i="109"/>
  <c r="E16" i="109"/>
  <c r="E13" i="109"/>
  <c r="C52" i="101"/>
  <c r="E10" i="104" l="1"/>
  <c r="E20" i="109"/>
  <c r="K9" i="109" s="1"/>
  <c r="I12" i="109"/>
  <c r="E11" i="104" s="1"/>
  <c r="I14" i="109"/>
  <c r="E13" i="104" s="1"/>
  <c r="P52" i="101"/>
  <c r="I13" i="109"/>
  <c r="E12" i="104" s="1"/>
  <c r="I16" i="109"/>
  <c r="E14" i="104" s="1"/>
  <c r="I20" i="109" l="1"/>
  <c r="R36" i="101"/>
  <c r="R37" i="101" s="1"/>
  <c r="L37" i="104" l="1"/>
  <c r="P37" i="104" s="1"/>
  <c r="K37" i="104"/>
  <c r="O37" i="104" s="1"/>
  <c r="J37" i="104"/>
  <c r="N37" i="104" s="1"/>
  <c r="L36" i="104"/>
  <c r="P36" i="104" s="1"/>
  <c r="K36" i="104"/>
  <c r="O36" i="104" s="1"/>
  <c r="J36" i="104"/>
  <c r="N36" i="104" s="1"/>
  <c r="L35" i="104"/>
  <c r="P35" i="104" s="1"/>
  <c r="K35" i="104"/>
  <c r="O35" i="104" s="1"/>
  <c r="J35" i="104"/>
  <c r="N35" i="104" s="1"/>
  <c r="L34" i="104"/>
  <c r="P34" i="104" s="1"/>
  <c r="K34" i="104"/>
  <c r="O34" i="104" s="1"/>
  <c r="J34" i="104"/>
  <c r="N34" i="104" s="1"/>
  <c r="L33" i="104"/>
  <c r="P33" i="104" s="1"/>
  <c r="K33" i="104"/>
  <c r="O33" i="104" s="1"/>
  <c r="J33" i="104"/>
  <c r="J70" i="100"/>
  <c r="L70" i="100"/>
  <c r="J71" i="100"/>
  <c r="L71" i="100"/>
  <c r="J73" i="100"/>
  <c r="N73" i="100" s="1"/>
  <c r="K73" i="100"/>
  <c r="O73" i="100" s="1"/>
  <c r="L73" i="100"/>
  <c r="P73" i="100" s="1"/>
  <c r="J74" i="100"/>
  <c r="N74" i="100" s="1"/>
  <c r="K74" i="100"/>
  <c r="O74" i="100" s="1"/>
  <c r="L74" i="100"/>
  <c r="P74" i="100" s="1"/>
  <c r="J69" i="100"/>
  <c r="M69" i="100" s="1"/>
  <c r="Q35" i="104" l="1"/>
  <c r="G35" i="128" s="1"/>
  <c r="Q36" i="104"/>
  <c r="G36" i="128" s="1"/>
  <c r="Q73" i="100"/>
  <c r="Q74" i="100"/>
  <c r="M70" i="100"/>
  <c r="M33" i="104"/>
  <c r="Q34" i="104"/>
  <c r="G34" i="128" s="1"/>
  <c r="Q37" i="104"/>
  <c r="G37" i="128" s="1"/>
  <c r="M73" i="100"/>
  <c r="M74" i="100"/>
  <c r="M71" i="100"/>
  <c r="M34" i="104"/>
  <c r="M35" i="104"/>
  <c r="M36" i="104"/>
  <c r="M37" i="104"/>
  <c r="N33" i="104"/>
  <c r="Q33" i="104" l="1"/>
  <c r="G33" i="128" s="1"/>
  <c r="G38" i="128" s="1"/>
  <c r="C11" i="151"/>
  <c r="C9" i="151"/>
  <c r="N22" i="150"/>
  <c r="E13" i="150" s="1"/>
  <c r="M22" i="150"/>
  <c r="E12" i="150" s="1"/>
  <c r="L22" i="150"/>
  <c r="E11" i="150" s="1"/>
  <c r="K22" i="150"/>
  <c r="E35" i="150"/>
  <c r="E51" i="149"/>
  <c r="D51" i="149"/>
  <c r="C55" i="149" s="1"/>
  <c r="J43" i="149" s="1"/>
  <c r="K43" i="149" s="1"/>
  <c r="C51" i="149"/>
  <c r="E22" i="149"/>
  <c r="D22" i="149"/>
  <c r="C22" i="149"/>
  <c r="I16" i="149"/>
  <c r="I17" i="149" s="1"/>
  <c r="I18" i="149" s="1"/>
  <c r="I19" i="149" s="1"/>
  <c r="I20" i="149" s="1"/>
  <c r="I21" i="149" s="1"/>
  <c r="I22" i="149" s="1"/>
  <c r="I23" i="149" s="1"/>
  <c r="I24" i="149" s="1"/>
  <c r="I25" i="149" s="1"/>
  <c r="I26" i="149" s="1"/>
  <c r="I27" i="149" s="1"/>
  <c r="I28" i="149" s="1"/>
  <c r="I29" i="149" s="1"/>
  <c r="I30" i="149" s="1"/>
  <c r="I31" i="149" s="1"/>
  <c r="I32" i="149" s="1"/>
  <c r="I33" i="149" s="1"/>
  <c r="I34" i="149" s="1"/>
  <c r="P82" i="100"/>
  <c r="O82" i="100"/>
  <c r="N82" i="100"/>
  <c r="P81" i="100"/>
  <c r="O81" i="100"/>
  <c r="N81" i="100"/>
  <c r="P80" i="100"/>
  <c r="O80" i="100"/>
  <c r="N80" i="100"/>
  <c r="P79" i="100"/>
  <c r="O79" i="100"/>
  <c r="N79" i="100"/>
  <c r="P78" i="100"/>
  <c r="O78" i="100"/>
  <c r="N78" i="100"/>
  <c r="P77" i="100"/>
  <c r="O77" i="100"/>
  <c r="N77" i="100"/>
  <c r="L61" i="100"/>
  <c r="P61" i="100" s="1"/>
  <c r="J22" i="111"/>
  <c r="J26" i="111" s="1"/>
  <c r="I94" i="71"/>
  <c r="H94" i="71"/>
  <c r="G94" i="71"/>
  <c r="F94" i="71"/>
  <c r="I93" i="71"/>
  <c r="H93" i="71"/>
  <c r="G93" i="71"/>
  <c r="F93" i="71"/>
  <c r="E94" i="71"/>
  <c r="D94" i="71"/>
  <c r="C94" i="71"/>
  <c r="I92" i="71"/>
  <c r="H92" i="71"/>
  <c r="G92" i="71"/>
  <c r="F92" i="71"/>
  <c r="E93" i="71"/>
  <c r="D93" i="71"/>
  <c r="C93" i="71"/>
  <c r="I91" i="71"/>
  <c r="H91" i="71"/>
  <c r="G91" i="71"/>
  <c r="F91" i="71"/>
  <c r="E92" i="71"/>
  <c r="D92" i="71"/>
  <c r="C92" i="71"/>
  <c r="I90" i="71"/>
  <c r="H90" i="71"/>
  <c r="G90" i="71"/>
  <c r="F90" i="71"/>
  <c r="E91" i="71"/>
  <c r="D91" i="71"/>
  <c r="C91" i="71"/>
  <c r="I89" i="71"/>
  <c r="H89" i="71"/>
  <c r="G89" i="71"/>
  <c r="F89" i="71"/>
  <c r="E90" i="71"/>
  <c r="D90" i="71"/>
  <c r="C90" i="71"/>
  <c r="I88" i="71"/>
  <c r="H88" i="71"/>
  <c r="G88" i="71"/>
  <c r="F88" i="71"/>
  <c r="E89" i="71"/>
  <c r="D89" i="71"/>
  <c r="C89" i="71"/>
  <c r="I87" i="71"/>
  <c r="H87" i="71"/>
  <c r="G87" i="71"/>
  <c r="F87" i="71"/>
  <c r="E88" i="71"/>
  <c r="D88" i="71"/>
  <c r="C88" i="71"/>
  <c r="I86" i="71"/>
  <c r="H86" i="71"/>
  <c r="G86" i="71"/>
  <c r="F86" i="71"/>
  <c r="E87" i="71"/>
  <c r="D87" i="71"/>
  <c r="C87" i="71"/>
  <c r="I85" i="71"/>
  <c r="H85" i="71"/>
  <c r="G85" i="71"/>
  <c r="F85" i="71"/>
  <c r="E86" i="71"/>
  <c r="D86" i="71"/>
  <c r="C86" i="71"/>
  <c r="I84" i="71"/>
  <c r="H84" i="71"/>
  <c r="G84" i="71"/>
  <c r="F84" i="71"/>
  <c r="E85" i="71"/>
  <c r="D85" i="71"/>
  <c r="C85" i="71"/>
  <c r="I83" i="71"/>
  <c r="H83" i="71"/>
  <c r="G83" i="71"/>
  <c r="F83" i="71"/>
  <c r="E84" i="71"/>
  <c r="D84" i="71"/>
  <c r="C84" i="71"/>
  <c r="I82" i="71"/>
  <c r="H82" i="71"/>
  <c r="G82" i="71"/>
  <c r="F82" i="71"/>
  <c r="E83" i="71"/>
  <c r="D83" i="71"/>
  <c r="C83" i="71"/>
  <c r="I81" i="71"/>
  <c r="H81" i="71"/>
  <c r="G81" i="71"/>
  <c r="F81" i="71"/>
  <c r="E82" i="71"/>
  <c r="D82" i="71"/>
  <c r="C82" i="71"/>
  <c r="I80" i="71"/>
  <c r="H80" i="71"/>
  <c r="G80" i="71"/>
  <c r="F80" i="71"/>
  <c r="E81" i="71"/>
  <c r="D81" i="71"/>
  <c r="C81" i="71"/>
  <c r="I79" i="71"/>
  <c r="H79" i="71"/>
  <c r="G79" i="71"/>
  <c r="F79" i="71"/>
  <c r="E80" i="71"/>
  <c r="D80" i="71"/>
  <c r="C80" i="71"/>
  <c r="I78" i="71"/>
  <c r="H78" i="71"/>
  <c r="G78" i="71"/>
  <c r="F78" i="71"/>
  <c r="E79" i="71"/>
  <c r="D79" i="71"/>
  <c r="C79" i="71"/>
  <c r="E78" i="71"/>
  <c r="D78" i="71"/>
  <c r="C78" i="71"/>
  <c r="I72" i="71"/>
  <c r="H72" i="71"/>
  <c r="G72" i="71"/>
  <c r="F72" i="71"/>
  <c r="I71" i="71"/>
  <c r="H71" i="71"/>
  <c r="G71" i="71"/>
  <c r="F71" i="71"/>
  <c r="E72" i="71"/>
  <c r="D72" i="71"/>
  <c r="C72" i="71"/>
  <c r="I70" i="71"/>
  <c r="H70" i="71"/>
  <c r="G70" i="71"/>
  <c r="F70" i="71"/>
  <c r="E71" i="71"/>
  <c r="D71" i="71"/>
  <c r="C71" i="71"/>
  <c r="I69" i="71"/>
  <c r="H69" i="71"/>
  <c r="G69" i="71"/>
  <c r="F69" i="71"/>
  <c r="E70" i="71"/>
  <c r="D70" i="71"/>
  <c r="C70" i="71"/>
  <c r="I68" i="71"/>
  <c r="H68" i="71"/>
  <c r="G68" i="71"/>
  <c r="F68" i="71"/>
  <c r="E69" i="71"/>
  <c r="D69" i="71"/>
  <c r="C69" i="71"/>
  <c r="I67" i="71"/>
  <c r="H67" i="71"/>
  <c r="G67" i="71"/>
  <c r="F67" i="71"/>
  <c r="E68" i="71"/>
  <c r="D68" i="71"/>
  <c r="C68" i="71"/>
  <c r="I66" i="71"/>
  <c r="H66" i="71"/>
  <c r="G66" i="71"/>
  <c r="F66" i="71"/>
  <c r="E67" i="71"/>
  <c r="D67" i="71"/>
  <c r="C67" i="71"/>
  <c r="I65" i="71"/>
  <c r="H65" i="71"/>
  <c r="G65" i="71"/>
  <c r="F65" i="71"/>
  <c r="E66" i="71"/>
  <c r="D66" i="71"/>
  <c r="C66" i="71"/>
  <c r="H64" i="71"/>
  <c r="G64" i="71"/>
  <c r="F64" i="71"/>
  <c r="E65" i="71"/>
  <c r="D65" i="71"/>
  <c r="C65" i="71"/>
  <c r="I63" i="71"/>
  <c r="H63" i="71"/>
  <c r="G63" i="71"/>
  <c r="F63" i="71"/>
  <c r="E64" i="71"/>
  <c r="D64" i="71"/>
  <c r="C64" i="71"/>
  <c r="I62" i="71"/>
  <c r="H62" i="71"/>
  <c r="G62" i="71"/>
  <c r="F62" i="71"/>
  <c r="E63" i="71"/>
  <c r="D63" i="71"/>
  <c r="C63" i="71"/>
  <c r="I61" i="71"/>
  <c r="H61" i="71"/>
  <c r="G61" i="71"/>
  <c r="F61" i="71"/>
  <c r="E62" i="71"/>
  <c r="D62" i="71"/>
  <c r="C62" i="71"/>
  <c r="I60" i="71"/>
  <c r="H60" i="71"/>
  <c r="G60" i="71"/>
  <c r="F60" i="71"/>
  <c r="E61" i="71"/>
  <c r="D61" i="71"/>
  <c r="C61" i="71"/>
  <c r="I59" i="71"/>
  <c r="H59" i="71"/>
  <c r="G59" i="71"/>
  <c r="F59" i="71"/>
  <c r="E60" i="71"/>
  <c r="D60" i="71"/>
  <c r="C60" i="71"/>
  <c r="G58" i="71"/>
  <c r="F58" i="71"/>
  <c r="E59" i="71"/>
  <c r="D59" i="71"/>
  <c r="C59" i="71"/>
  <c r="G57" i="71"/>
  <c r="F57" i="71"/>
  <c r="E58" i="71"/>
  <c r="D58" i="71"/>
  <c r="C58" i="71"/>
  <c r="I56" i="71"/>
  <c r="G56" i="71"/>
  <c r="F56" i="71"/>
  <c r="E57" i="71"/>
  <c r="D57" i="71"/>
  <c r="C57" i="71"/>
  <c r="E56" i="71"/>
  <c r="D56" i="71"/>
  <c r="C56" i="71"/>
  <c r="AD48" i="71"/>
  <c r="AP48" i="71" s="1"/>
  <c r="D48" i="71"/>
  <c r="C48" i="71"/>
  <c r="AD47" i="71"/>
  <c r="AP47" i="71" s="1"/>
  <c r="D47" i="71"/>
  <c r="C47" i="71"/>
  <c r="AD46" i="71"/>
  <c r="AN46" i="71" s="1"/>
  <c r="D46" i="71"/>
  <c r="C46" i="71"/>
  <c r="AD45" i="71"/>
  <c r="AN45" i="71" s="1"/>
  <c r="D45" i="71"/>
  <c r="C45" i="71"/>
  <c r="AD44" i="71"/>
  <c r="AL44" i="71" s="1"/>
  <c r="D44" i="71"/>
  <c r="C44" i="71"/>
  <c r="AD43" i="71"/>
  <c r="AL43" i="71" s="1"/>
  <c r="D43" i="71"/>
  <c r="F67" i="97" s="1"/>
  <c r="C43" i="71"/>
  <c r="D67" i="97" s="1"/>
  <c r="AD42" i="71"/>
  <c r="AK42" i="71" s="1"/>
  <c r="AD41" i="71"/>
  <c r="AP41" i="71" s="1"/>
  <c r="D41" i="71"/>
  <c r="C41" i="71"/>
  <c r="AD40" i="71"/>
  <c r="AN40" i="71" s="1"/>
  <c r="D40" i="71"/>
  <c r="E40" i="71" s="1"/>
  <c r="AD39" i="71"/>
  <c r="AL39" i="71" s="1"/>
  <c r="D39" i="71"/>
  <c r="F66" i="97" s="1"/>
  <c r="C39" i="71"/>
  <c r="D66" i="97" s="1"/>
  <c r="AD38" i="71"/>
  <c r="AL38" i="71" s="1"/>
  <c r="D38" i="71"/>
  <c r="F65" i="97" s="1"/>
  <c r="C38" i="71"/>
  <c r="D65" i="97" s="1"/>
  <c r="AD37" i="71"/>
  <c r="AK37" i="71" s="1"/>
  <c r="D37" i="71"/>
  <c r="F64" i="97" s="1"/>
  <c r="C37" i="71"/>
  <c r="D64" i="97" s="1"/>
  <c r="AD36" i="71"/>
  <c r="AJ36" i="71" s="1"/>
  <c r="G37" i="97" s="1"/>
  <c r="J37" i="97" s="1"/>
  <c r="D36" i="71"/>
  <c r="F63" i="97" s="1"/>
  <c r="C36" i="71"/>
  <c r="D63" i="97" s="1"/>
  <c r="AD35" i="71"/>
  <c r="AI35" i="71" s="1"/>
  <c r="D35" i="71"/>
  <c r="F62" i="97" s="1"/>
  <c r="C35" i="71"/>
  <c r="D62" i="97" s="1"/>
  <c r="AD34" i="71"/>
  <c r="AP34" i="71" s="1"/>
  <c r="D34" i="71"/>
  <c r="F61" i="97" s="1"/>
  <c r="C34" i="71"/>
  <c r="D61" i="97" s="1"/>
  <c r="AD33" i="71"/>
  <c r="AN33" i="71" s="1"/>
  <c r="D33" i="71"/>
  <c r="F60" i="97" s="1"/>
  <c r="C33" i="71"/>
  <c r="D60" i="97" s="1"/>
  <c r="AD32" i="71"/>
  <c r="AN32" i="71" s="1"/>
  <c r="D32" i="71"/>
  <c r="F59" i="97" s="1"/>
  <c r="C32" i="71"/>
  <c r="D59" i="97" s="1"/>
  <c r="AD31" i="71"/>
  <c r="AL31" i="71" s="1"/>
  <c r="D31" i="71"/>
  <c r="F58" i="97" s="1"/>
  <c r="C31" i="71"/>
  <c r="D58" i="97" s="1"/>
  <c r="C63" i="101"/>
  <c r="E71" i="100" s="1"/>
  <c r="C62" i="101"/>
  <c r="E70" i="100" s="1"/>
  <c r="C61" i="101"/>
  <c r="E69" i="100" s="1"/>
  <c r="O61" i="100"/>
  <c r="J61" i="100"/>
  <c r="N61" i="100" s="1"/>
  <c r="I17" i="99"/>
  <c r="I9" i="99"/>
  <c r="C47" i="67"/>
  <c r="C46" i="67"/>
  <c r="C45" i="67"/>
  <c r="E44" i="67"/>
  <c r="C44" i="67"/>
  <c r="C43" i="67"/>
  <c r="C42" i="67"/>
  <c r="G17" i="100" l="1"/>
  <c r="G10" i="100"/>
  <c r="H29" i="100"/>
  <c r="I29" i="100"/>
  <c r="L29" i="100" s="1"/>
  <c r="P29" i="100" s="1"/>
  <c r="C30" i="149"/>
  <c r="G50" i="104"/>
  <c r="J50" i="104" s="1"/>
  <c r="H50" i="104"/>
  <c r="K50" i="104" s="1"/>
  <c r="I21" i="104"/>
  <c r="G21" i="104"/>
  <c r="I54" i="104"/>
  <c r="L54" i="104" s="1"/>
  <c r="G54" i="104"/>
  <c r="G55" i="104" s="1"/>
  <c r="I20" i="104"/>
  <c r="G19" i="104"/>
  <c r="J19" i="104" s="1"/>
  <c r="I52" i="104"/>
  <c r="L52" i="104" s="1"/>
  <c r="P52" i="104" s="1"/>
  <c r="G52" i="104"/>
  <c r="I19" i="104"/>
  <c r="G20" i="104"/>
  <c r="H54" i="104"/>
  <c r="K54" i="104" s="1"/>
  <c r="H24" i="104"/>
  <c r="H52" i="104"/>
  <c r="K52" i="104" s="1"/>
  <c r="O52" i="104" s="1"/>
  <c r="G24" i="104"/>
  <c r="G25" i="104" s="1"/>
  <c r="I51" i="104"/>
  <c r="L51" i="104" s="1"/>
  <c r="P51" i="104" s="1"/>
  <c r="G51" i="104"/>
  <c r="H22" i="104"/>
  <c r="K22" i="104" s="1"/>
  <c r="O22" i="104" s="1"/>
  <c r="G31" i="100"/>
  <c r="I50" i="104"/>
  <c r="L50" i="104" s="1"/>
  <c r="I24" i="104"/>
  <c r="H21" i="104"/>
  <c r="K21" i="104" s="1"/>
  <c r="O21" i="104" s="1"/>
  <c r="G20" i="100"/>
  <c r="J20" i="100" s="1"/>
  <c r="H20" i="104"/>
  <c r="K20" i="104" s="1"/>
  <c r="O20" i="104" s="1"/>
  <c r="H19" i="104"/>
  <c r="K19" i="104" s="1"/>
  <c r="H51" i="104"/>
  <c r="K51" i="104" s="1"/>
  <c r="O51" i="104" s="1"/>
  <c r="I22" i="104"/>
  <c r="G22" i="104"/>
  <c r="J22" i="104" s="1"/>
  <c r="G23" i="104"/>
  <c r="J23" i="104" s="1"/>
  <c r="N23" i="104" s="1"/>
  <c r="H12" i="100"/>
  <c r="G37" i="100"/>
  <c r="H17" i="100"/>
  <c r="G58" i="100"/>
  <c r="G29" i="100"/>
  <c r="I58" i="100"/>
  <c r="L58" i="100" s="1"/>
  <c r="P58" i="100" s="1"/>
  <c r="H54" i="100"/>
  <c r="I57" i="100"/>
  <c r="L57" i="100" s="1"/>
  <c r="P57" i="100" s="1"/>
  <c r="I53" i="100"/>
  <c r="L53" i="100" s="1"/>
  <c r="P53" i="100" s="1"/>
  <c r="H30" i="100"/>
  <c r="H20" i="100"/>
  <c r="H53" i="100"/>
  <c r="I18" i="100"/>
  <c r="H58" i="100"/>
  <c r="I37" i="100"/>
  <c r="L37" i="100" s="1"/>
  <c r="P37" i="100" s="1"/>
  <c r="H18" i="100"/>
  <c r="I26" i="100"/>
  <c r="L26" i="100" s="1"/>
  <c r="P26" i="100" s="1"/>
  <c r="H31" i="100"/>
  <c r="I30" i="100"/>
  <c r="L30" i="100" s="1"/>
  <c r="P30" i="100" s="1"/>
  <c r="I56" i="100"/>
  <c r="L56" i="100" s="1"/>
  <c r="P56" i="100" s="1"/>
  <c r="H57" i="100"/>
  <c r="H37" i="100"/>
  <c r="I27" i="100"/>
  <c r="L27" i="100" s="1"/>
  <c r="P27" i="100" s="1"/>
  <c r="I17" i="100"/>
  <c r="L17" i="100" s="1"/>
  <c r="P17" i="100" s="1"/>
  <c r="H56" i="100"/>
  <c r="H27" i="100"/>
  <c r="I54" i="100"/>
  <c r="L54" i="100" s="1"/>
  <c r="P54" i="100" s="1"/>
  <c r="I31" i="100"/>
  <c r="L31" i="100" s="1"/>
  <c r="P31" i="100" s="1"/>
  <c r="H55" i="100"/>
  <c r="H26" i="100"/>
  <c r="K26" i="100" s="1"/>
  <c r="I20" i="100"/>
  <c r="L20" i="100" s="1"/>
  <c r="P20" i="100" s="1"/>
  <c r="G55" i="100"/>
  <c r="J55" i="100" s="1"/>
  <c r="N55" i="100" s="1"/>
  <c r="G12" i="100"/>
  <c r="J12" i="100" s="1"/>
  <c r="N12" i="100" s="1"/>
  <c r="G17" i="104"/>
  <c r="H9" i="104"/>
  <c r="K9" i="104" s="1"/>
  <c r="O9" i="104" s="1"/>
  <c r="G23" i="100"/>
  <c r="J23" i="100" s="1"/>
  <c r="C57" i="149"/>
  <c r="C59" i="149" s="1"/>
  <c r="G51" i="100"/>
  <c r="J51" i="100" s="1"/>
  <c r="N51" i="100" s="1"/>
  <c r="H10" i="100"/>
  <c r="K10" i="100" s="1"/>
  <c r="O10" i="100" s="1"/>
  <c r="I14" i="100"/>
  <c r="L14" i="100" s="1"/>
  <c r="P14" i="100" s="1"/>
  <c r="H22" i="100"/>
  <c r="K22" i="100" s="1"/>
  <c r="O22" i="100" s="1"/>
  <c r="G24" i="100"/>
  <c r="J24" i="100" s="1"/>
  <c r="N24" i="100" s="1"/>
  <c r="H59" i="100"/>
  <c r="Q61" i="100"/>
  <c r="H15" i="100"/>
  <c r="AO45" i="71"/>
  <c r="L19" i="104"/>
  <c r="L21" i="104"/>
  <c r="P21" i="104" s="1"/>
  <c r="J51" i="104"/>
  <c r="N51" i="104" s="1"/>
  <c r="J20" i="104"/>
  <c r="N20" i="104" s="1"/>
  <c r="L20" i="104"/>
  <c r="P20" i="104" s="1"/>
  <c r="J21" i="104"/>
  <c r="G18" i="100"/>
  <c r="J18" i="100" s="1"/>
  <c r="J58" i="100"/>
  <c r="G26" i="100"/>
  <c r="J26" i="100" s="1"/>
  <c r="G53" i="100"/>
  <c r="J53" i="100" s="1"/>
  <c r="I19" i="100"/>
  <c r="L19" i="100" s="1"/>
  <c r="P19" i="100" s="1"/>
  <c r="J37" i="100"/>
  <c r="G56" i="100"/>
  <c r="J56" i="100" s="1"/>
  <c r="G54" i="100"/>
  <c r="J54" i="100" s="1"/>
  <c r="I9" i="104"/>
  <c r="I52" i="100"/>
  <c r="L52" i="100" s="1"/>
  <c r="P52" i="100" s="1"/>
  <c r="I12" i="100"/>
  <c r="L12" i="100" s="1"/>
  <c r="P12" i="100" s="1"/>
  <c r="I16" i="100"/>
  <c r="L16" i="100" s="1"/>
  <c r="P16" i="100" s="1"/>
  <c r="H28" i="100"/>
  <c r="G28" i="100"/>
  <c r="J28" i="100" s="1"/>
  <c r="G30" i="100"/>
  <c r="J30" i="100" s="1"/>
  <c r="H52" i="100"/>
  <c r="G16" i="100"/>
  <c r="J16" i="100" s="1"/>
  <c r="L18" i="100"/>
  <c r="P18" i="100" s="1"/>
  <c r="J29" i="100"/>
  <c r="G15" i="100"/>
  <c r="J15" i="100" s="1"/>
  <c r="N15" i="100" s="1"/>
  <c r="H19" i="100"/>
  <c r="J31" i="100"/>
  <c r="G9" i="104"/>
  <c r="J9" i="104" s="1"/>
  <c r="G52" i="100"/>
  <c r="J52" i="100" s="1"/>
  <c r="H16" i="100"/>
  <c r="G19" i="100"/>
  <c r="J19" i="100" s="1"/>
  <c r="G57" i="100"/>
  <c r="J57" i="100" s="1"/>
  <c r="I28" i="100"/>
  <c r="L28" i="100" s="1"/>
  <c r="P28" i="100" s="1"/>
  <c r="J17" i="100"/>
  <c r="G27" i="100"/>
  <c r="J27" i="100" s="1"/>
  <c r="I55" i="100"/>
  <c r="L55" i="100" s="1"/>
  <c r="P55" i="100" s="1"/>
  <c r="I39" i="100"/>
  <c r="L39" i="100" s="1"/>
  <c r="P39" i="100" s="1"/>
  <c r="H39" i="100"/>
  <c r="K39" i="100" s="1"/>
  <c r="G39" i="100"/>
  <c r="J39" i="100" s="1"/>
  <c r="N39" i="100" s="1"/>
  <c r="I38" i="100"/>
  <c r="L38" i="100" s="1"/>
  <c r="P38" i="100" s="1"/>
  <c r="G38" i="100"/>
  <c r="J38" i="100" s="1"/>
  <c r="H38" i="100"/>
  <c r="K38" i="100" s="1"/>
  <c r="I34" i="100"/>
  <c r="L34" i="100" s="1"/>
  <c r="P34" i="100" s="1"/>
  <c r="H34" i="100"/>
  <c r="G34" i="100"/>
  <c r="J34" i="100" s="1"/>
  <c r="I23" i="100"/>
  <c r="L23" i="100" s="1"/>
  <c r="P23" i="100" s="1"/>
  <c r="I40" i="100"/>
  <c r="L40" i="100" s="1"/>
  <c r="P40" i="100" s="1"/>
  <c r="H23" i="100"/>
  <c r="K23" i="100" s="1"/>
  <c r="I41" i="100"/>
  <c r="L41" i="100" s="1"/>
  <c r="P41" i="100" s="1"/>
  <c r="G41" i="100"/>
  <c r="J41" i="100" s="1"/>
  <c r="H40" i="100"/>
  <c r="K40" i="100" s="1"/>
  <c r="H41" i="100"/>
  <c r="K41" i="100" s="1"/>
  <c r="G11" i="100"/>
  <c r="J11" i="100" s="1"/>
  <c r="N11" i="100" s="1"/>
  <c r="I36" i="100"/>
  <c r="L36" i="100" s="1"/>
  <c r="P36" i="100" s="1"/>
  <c r="G36" i="100"/>
  <c r="J36" i="100" s="1"/>
  <c r="I25" i="100"/>
  <c r="L25" i="100" s="1"/>
  <c r="P25" i="100" s="1"/>
  <c r="G25" i="100"/>
  <c r="J25" i="100" s="1"/>
  <c r="H36" i="100"/>
  <c r="H25" i="100"/>
  <c r="H59" i="104"/>
  <c r="K59" i="104" s="1"/>
  <c r="I44" i="104"/>
  <c r="G53" i="104"/>
  <c r="J53" i="104" s="1"/>
  <c r="N53" i="104" s="1"/>
  <c r="H48" i="104"/>
  <c r="H28" i="104"/>
  <c r="K28" i="104" s="1"/>
  <c r="I18" i="104"/>
  <c r="L18" i="104" s="1"/>
  <c r="P18" i="104" s="1"/>
  <c r="H44" i="104"/>
  <c r="K44" i="104" s="1"/>
  <c r="G59" i="104"/>
  <c r="G41" i="104"/>
  <c r="G48" i="104"/>
  <c r="J48" i="104" s="1"/>
  <c r="N48" i="104" s="1"/>
  <c r="G28" i="104"/>
  <c r="H18" i="104"/>
  <c r="I58" i="104"/>
  <c r="L58" i="104" s="1"/>
  <c r="P58" i="104" s="1"/>
  <c r="I61" i="104"/>
  <c r="L61" i="104" s="1"/>
  <c r="P61" i="104" s="1"/>
  <c r="I41" i="104"/>
  <c r="G13" i="104"/>
  <c r="G14" i="104" s="1"/>
  <c r="G18" i="104"/>
  <c r="J18" i="104" s="1"/>
  <c r="N18" i="104" s="1"/>
  <c r="I13" i="104"/>
  <c r="H49" i="104"/>
  <c r="I59" i="104"/>
  <c r="G27" i="104"/>
  <c r="J27" i="104" s="1"/>
  <c r="N27" i="104" s="1"/>
  <c r="H58" i="104"/>
  <c r="H61" i="104"/>
  <c r="J52" i="104"/>
  <c r="N52" i="104" s="1"/>
  <c r="H41" i="104"/>
  <c r="K41" i="104" s="1"/>
  <c r="H13" i="104"/>
  <c r="K13" i="104" s="1"/>
  <c r="I49" i="104"/>
  <c r="L49" i="104" s="1"/>
  <c r="P49" i="104" s="1"/>
  <c r="H53" i="104"/>
  <c r="G58" i="104"/>
  <c r="J58" i="104" s="1"/>
  <c r="N58" i="104" s="1"/>
  <c r="I30" i="104"/>
  <c r="L30" i="104" s="1"/>
  <c r="P30" i="104" s="1"/>
  <c r="H30" i="104"/>
  <c r="I27" i="104"/>
  <c r="L27" i="104" s="1"/>
  <c r="P27" i="104" s="1"/>
  <c r="I48" i="104"/>
  <c r="L48" i="104" s="1"/>
  <c r="P48" i="104" s="1"/>
  <c r="G61" i="104"/>
  <c r="J61" i="104" s="1"/>
  <c r="N61" i="104" s="1"/>
  <c r="G44" i="104"/>
  <c r="I53" i="104"/>
  <c r="G49" i="104"/>
  <c r="J49" i="104" s="1"/>
  <c r="N49" i="104" s="1"/>
  <c r="G30" i="104"/>
  <c r="J30" i="104" s="1"/>
  <c r="N30" i="104" s="1"/>
  <c r="H27" i="104"/>
  <c r="I28" i="104"/>
  <c r="J17" i="104"/>
  <c r="G10" i="104"/>
  <c r="I10" i="104"/>
  <c r="L22" i="104"/>
  <c r="P22" i="104" s="1"/>
  <c r="I17" i="104"/>
  <c r="L17" i="104" s="1"/>
  <c r="P17" i="104" s="1"/>
  <c r="H17" i="104"/>
  <c r="I23" i="104"/>
  <c r="L23" i="104" s="1"/>
  <c r="P23" i="104" s="1"/>
  <c r="H23" i="104"/>
  <c r="H10" i="104"/>
  <c r="I48" i="100"/>
  <c r="L48" i="100" s="1"/>
  <c r="P48" i="100" s="1"/>
  <c r="I35" i="100"/>
  <c r="L35" i="100" s="1"/>
  <c r="P35" i="100" s="1"/>
  <c r="H48" i="100"/>
  <c r="H35" i="100"/>
  <c r="I11" i="100"/>
  <c r="L11" i="100" s="1"/>
  <c r="P11" i="100" s="1"/>
  <c r="I33" i="100"/>
  <c r="L33" i="100" s="1"/>
  <c r="P33" i="100" s="1"/>
  <c r="H11" i="100"/>
  <c r="K11" i="100" s="1"/>
  <c r="G33" i="100"/>
  <c r="J33" i="100" s="1"/>
  <c r="N33" i="100" s="1"/>
  <c r="I50" i="100"/>
  <c r="L50" i="100" s="1"/>
  <c r="P50" i="100" s="1"/>
  <c r="H50" i="100"/>
  <c r="G50" i="100"/>
  <c r="J50" i="100" s="1"/>
  <c r="N50" i="100" s="1"/>
  <c r="N48" i="100"/>
  <c r="I49" i="100"/>
  <c r="L49" i="100" s="1"/>
  <c r="P49" i="100" s="1"/>
  <c r="G13" i="100"/>
  <c r="J13" i="100" s="1"/>
  <c r="N13" i="100" s="1"/>
  <c r="G35" i="100"/>
  <c r="J35" i="100" s="1"/>
  <c r="N35" i="100" s="1"/>
  <c r="G49" i="100"/>
  <c r="J49" i="100" s="1"/>
  <c r="N49" i="100" s="1"/>
  <c r="G40" i="100"/>
  <c r="J40" i="100" s="1"/>
  <c r="N40" i="100" s="1"/>
  <c r="H33" i="100"/>
  <c r="I13" i="100"/>
  <c r="L13" i="100" s="1"/>
  <c r="P13" i="100" s="1"/>
  <c r="H49" i="100"/>
  <c r="H13" i="100"/>
  <c r="J10" i="100"/>
  <c r="G21" i="100"/>
  <c r="J21" i="100" s="1"/>
  <c r="N21" i="100" s="1"/>
  <c r="I24" i="100"/>
  <c r="L24" i="100" s="1"/>
  <c r="P24" i="100" s="1"/>
  <c r="H51" i="100"/>
  <c r="I10" i="100"/>
  <c r="L10" i="100" s="1"/>
  <c r="H21" i="100"/>
  <c r="G32" i="100"/>
  <c r="J32" i="100" s="1"/>
  <c r="N32" i="100" s="1"/>
  <c r="I51" i="100"/>
  <c r="L51" i="100" s="1"/>
  <c r="P51" i="100" s="1"/>
  <c r="I15" i="100"/>
  <c r="L15" i="100" s="1"/>
  <c r="P15" i="100" s="1"/>
  <c r="H24" i="100"/>
  <c r="K24" i="100" s="1"/>
  <c r="I59" i="100"/>
  <c r="L59" i="100" s="1"/>
  <c r="P59" i="100" s="1"/>
  <c r="G14" i="100"/>
  <c r="J14" i="100" s="1"/>
  <c r="N14" i="100" s="1"/>
  <c r="I21" i="100"/>
  <c r="L21" i="100" s="1"/>
  <c r="P21" i="100" s="1"/>
  <c r="H32" i="100"/>
  <c r="H14" i="100"/>
  <c r="G22" i="100"/>
  <c r="J22" i="100" s="1"/>
  <c r="N22" i="100" s="1"/>
  <c r="I32" i="100"/>
  <c r="L32" i="100" s="1"/>
  <c r="P32" i="100" s="1"/>
  <c r="F16" i="161"/>
  <c r="F31" i="161" s="1"/>
  <c r="I22" i="100"/>
  <c r="L22" i="100" s="1"/>
  <c r="P22" i="100" s="1"/>
  <c r="G59" i="100"/>
  <c r="J59" i="100" s="1"/>
  <c r="N59" i="100" s="1"/>
  <c r="O69" i="100"/>
  <c r="P69" i="100"/>
  <c r="N69" i="100"/>
  <c r="P70" i="100"/>
  <c r="O70" i="100"/>
  <c r="N70" i="100"/>
  <c r="O71" i="100"/>
  <c r="N71" i="100"/>
  <c r="P71" i="100"/>
  <c r="C73" i="101"/>
  <c r="E59" i="101" s="1"/>
  <c r="F12" i="128"/>
  <c r="F20" i="109"/>
  <c r="Q77" i="100"/>
  <c r="H22" i="128" s="1"/>
  <c r="M52" i="128"/>
  <c r="L51" i="128"/>
  <c r="L50" i="128"/>
  <c r="J51" i="128"/>
  <c r="J50" i="128"/>
  <c r="M50" i="128"/>
  <c r="M51" i="128"/>
  <c r="Q80" i="100"/>
  <c r="H25" i="128" s="1"/>
  <c r="Q78" i="100"/>
  <c r="H23" i="128" s="1"/>
  <c r="Q81" i="100"/>
  <c r="H27" i="128" s="1"/>
  <c r="Q79" i="100"/>
  <c r="H24" i="128" s="1"/>
  <c r="Q82" i="100"/>
  <c r="H28" i="128" s="1"/>
  <c r="AP45" i="71"/>
  <c r="AG38" i="71"/>
  <c r="AN44" i="71"/>
  <c r="AP44" i="71"/>
  <c r="AI46" i="71"/>
  <c r="AJ46" i="71"/>
  <c r="G46" i="97" s="1"/>
  <c r="S46" i="97" s="1"/>
  <c r="T46" i="97" s="1"/>
  <c r="AO32" i="71"/>
  <c r="AK48" i="71"/>
  <c r="AJ35" i="71"/>
  <c r="G36" i="97" s="1"/>
  <c r="J36" i="97" s="1"/>
  <c r="N36" i="97" s="1"/>
  <c r="O36" i="97" s="1"/>
  <c r="AG40" i="71"/>
  <c r="AK46" i="71"/>
  <c r="AM46" i="71"/>
  <c r="AO48" i="71"/>
  <c r="AH32" i="71"/>
  <c r="AI41" i="71"/>
  <c r="AE44" i="71"/>
  <c r="AH45" i="71"/>
  <c r="AG46" i="71"/>
  <c r="AG45" i="71"/>
  <c r="AE46" i="71"/>
  <c r="AI32" i="71"/>
  <c r="AF44" i="71"/>
  <c r="AJ45" i="71"/>
  <c r="G45" i="97" s="1"/>
  <c r="S45" i="97" s="1"/>
  <c r="T45" i="97" s="1"/>
  <c r="AH46" i="71"/>
  <c r="AG31" i="71"/>
  <c r="AO44" i="71"/>
  <c r="AM48" i="71"/>
  <c r="AE33" i="71"/>
  <c r="AF39" i="71"/>
  <c r="AE48" i="71"/>
  <c r="AG33" i="71"/>
  <c r="AH39" i="71"/>
  <c r="AN43" i="71"/>
  <c r="AH44" i="71"/>
  <c r="AP46" i="71"/>
  <c r="AG48" i="71"/>
  <c r="AE43" i="71"/>
  <c r="AJ43" i="71"/>
  <c r="G43" i="97" s="1"/>
  <c r="S43" i="97" s="1"/>
  <c r="T43" i="97" s="1"/>
  <c r="AG44" i="71"/>
  <c r="AI33" i="71"/>
  <c r="AI39" i="71"/>
  <c r="AP43" i="71"/>
  <c r="AI44" i="71"/>
  <c r="AI48" i="71"/>
  <c r="AP31" i="71"/>
  <c r="AP33" i="71"/>
  <c r="AK39" i="71"/>
  <c r="AK44" i="71"/>
  <c r="AJ48" i="71"/>
  <c r="G48" i="97" s="1"/>
  <c r="J48" i="97" s="1"/>
  <c r="K48" i="97" s="1"/>
  <c r="K23" i="111"/>
  <c r="L24" i="111"/>
  <c r="L28" i="111" s="1"/>
  <c r="D25" i="111"/>
  <c r="AH31" i="71"/>
  <c r="AP32" i="71"/>
  <c r="AJ33" i="71"/>
  <c r="G34" i="97" s="1"/>
  <c r="S34" i="97" s="1"/>
  <c r="T34" i="97" s="1"/>
  <c r="AI34" i="71"/>
  <c r="AK35" i="71"/>
  <c r="AH38" i="71"/>
  <c r="AM39" i="71"/>
  <c r="AH40" i="71"/>
  <c r="AF43" i="71"/>
  <c r="AM44" i="71"/>
  <c r="AI31" i="71"/>
  <c r="AK33" i="71"/>
  <c r="AJ34" i="71"/>
  <c r="G35" i="97" s="1"/>
  <c r="J35" i="97" s="1"/>
  <c r="AM35" i="71"/>
  <c r="AJ38" i="71"/>
  <c r="G39" i="97" s="1"/>
  <c r="J39" i="97" s="1"/>
  <c r="N39" i="97" s="1"/>
  <c r="O39" i="97" s="1"/>
  <c r="AE39" i="71"/>
  <c r="AN39" i="71"/>
  <c r="AI40" i="71"/>
  <c r="AH43" i="71"/>
  <c r="AJ31" i="71"/>
  <c r="G32" i="97" s="1"/>
  <c r="AM33" i="71"/>
  <c r="AO35" i="71"/>
  <c r="AM38" i="71"/>
  <c r="AO39" i="71"/>
  <c r="AJ40" i="71"/>
  <c r="G41" i="97" s="1"/>
  <c r="J41" i="97" s="1"/>
  <c r="N41" i="97" s="1"/>
  <c r="O41" i="97" s="1"/>
  <c r="AK31" i="71"/>
  <c r="AG32" i="71"/>
  <c r="AO33" i="71"/>
  <c r="AN38" i="71"/>
  <c r="AG39" i="71"/>
  <c r="AP39" i="71"/>
  <c r="AK40" i="71"/>
  <c r="AM43" i="71"/>
  <c r="AI47" i="71"/>
  <c r="AM31" i="71"/>
  <c r="AO38" i="71"/>
  <c r="AM40" i="71"/>
  <c r="E43" i="71"/>
  <c r="H67" i="97" s="1"/>
  <c r="AE31" i="71"/>
  <c r="AE35" i="71"/>
  <c r="AE38" i="71"/>
  <c r="AP38" i="71"/>
  <c r="AO40" i="71"/>
  <c r="AN31" i="71"/>
  <c r="AF31" i="71"/>
  <c r="AO31" i="71"/>
  <c r="AJ32" i="71"/>
  <c r="G33" i="97" s="1"/>
  <c r="S33" i="97" s="1"/>
  <c r="T33" i="97" s="1"/>
  <c r="AH33" i="71"/>
  <c r="AG35" i="71"/>
  <c r="AK36" i="71"/>
  <c r="AF38" i="71"/>
  <c r="AJ39" i="71"/>
  <c r="G40" i="97" s="1"/>
  <c r="AE40" i="71"/>
  <c r="AP40" i="71"/>
  <c r="AJ44" i="71"/>
  <c r="G44" i="97" s="1"/>
  <c r="S44" i="97" s="1"/>
  <c r="T44" i="97" s="1"/>
  <c r="AO46" i="71"/>
  <c r="N37" i="97"/>
  <c r="O37" i="97" s="1"/>
  <c r="K37" i="97"/>
  <c r="AL36" i="71"/>
  <c r="AE37" i="71"/>
  <c r="AM37" i="71"/>
  <c r="AJ41" i="71"/>
  <c r="G42" i="97" s="1"/>
  <c r="J42" i="97" s="1"/>
  <c r="AE42" i="71"/>
  <c r="AM42" i="71"/>
  <c r="AJ47" i="71"/>
  <c r="G47" i="97" s="1"/>
  <c r="J47" i="97" s="1"/>
  <c r="AK34" i="71"/>
  <c r="AL35" i="71"/>
  <c r="AE36" i="71"/>
  <c r="AM36" i="71"/>
  <c r="AF37" i="71"/>
  <c r="AN37" i="71"/>
  <c r="AK41" i="71"/>
  <c r="AF42" i="71"/>
  <c r="AN42" i="71"/>
  <c r="AG43" i="71"/>
  <c r="AO43" i="71"/>
  <c r="AI45" i="71"/>
  <c r="AK47" i="71"/>
  <c r="AL48" i="71"/>
  <c r="AL42" i="71"/>
  <c r="AG37" i="71"/>
  <c r="AG42" i="71"/>
  <c r="AO42" i="71"/>
  <c r="AL47" i="71"/>
  <c r="AL37" i="71"/>
  <c r="AL34" i="71"/>
  <c r="AF36" i="71"/>
  <c r="AN36" i="71"/>
  <c r="AO37" i="71"/>
  <c r="AL41" i="71"/>
  <c r="AK32" i="71"/>
  <c r="AL33" i="71"/>
  <c r="AE34" i="71"/>
  <c r="AM34" i="71"/>
  <c r="AF35" i="71"/>
  <c r="AN35" i="71"/>
  <c r="AG36" i="71"/>
  <c r="AO36" i="71"/>
  <c r="AH37" i="71"/>
  <c r="AP37" i="71"/>
  <c r="AI38" i="71"/>
  <c r="AL40" i="71"/>
  <c r="AE41" i="71"/>
  <c r="AM41" i="71"/>
  <c r="AH42" i="71"/>
  <c r="AP42" i="71"/>
  <c r="AI43" i="71"/>
  <c r="AK45" i="71"/>
  <c r="AL46" i="71"/>
  <c r="AE47" i="71"/>
  <c r="AM47" i="71"/>
  <c r="AF48" i="71"/>
  <c r="AN48" i="71"/>
  <c r="AI37" i="71"/>
  <c r="AL45" i="71"/>
  <c r="AF47" i="71"/>
  <c r="AN47" i="71"/>
  <c r="AL32" i="71"/>
  <c r="AF34" i="71"/>
  <c r="AN34" i="71"/>
  <c r="AH36" i="71"/>
  <c r="AP36" i="71"/>
  <c r="AF41" i="71"/>
  <c r="AN41" i="71"/>
  <c r="AI42" i="71"/>
  <c r="AE32" i="71"/>
  <c r="AM32" i="71"/>
  <c r="AF33" i="71"/>
  <c r="AG34" i="71"/>
  <c r="AO34" i="71"/>
  <c r="AH35" i="71"/>
  <c r="AP35" i="71"/>
  <c r="AI36" i="71"/>
  <c r="AJ37" i="71"/>
  <c r="G38" i="97" s="1"/>
  <c r="J38" i="97" s="1"/>
  <c r="AK38" i="71"/>
  <c r="AF40" i="71"/>
  <c r="AG41" i="71"/>
  <c r="AO41" i="71"/>
  <c r="AJ42" i="71"/>
  <c r="AK43" i="71"/>
  <c r="AE45" i="71"/>
  <c r="AM45" i="71"/>
  <c r="AF46" i="71"/>
  <c r="AG47" i="71"/>
  <c r="AO47" i="71"/>
  <c r="AH48" i="71"/>
  <c r="AF32" i="71"/>
  <c r="AH34" i="71"/>
  <c r="AH41" i="71"/>
  <c r="AF45" i="71"/>
  <c r="AH47" i="71"/>
  <c r="N51" i="128"/>
  <c r="N50" i="128"/>
  <c r="E41" i="71"/>
  <c r="E47" i="71"/>
  <c r="J14" i="149"/>
  <c r="K14" i="149" s="1"/>
  <c r="E46" i="71"/>
  <c r="E44" i="71"/>
  <c r="M61" i="100"/>
  <c r="C12" i="151"/>
  <c r="E34" i="71"/>
  <c r="H61" i="97" s="1"/>
  <c r="E38" i="71"/>
  <c r="H65" i="97" s="1"/>
  <c r="E48" i="71"/>
  <c r="E37" i="71"/>
  <c r="H64" i="97" s="1"/>
  <c r="E22" i="150"/>
  <c r="E36" i="71"/>
  <c r="H63" i="97" s="1"/>
  <c r="E35" i="71"/>
  <c r="H62" i="97" s="1"/>
  <c r="E32" i="71"/>
  <c r="H59" i="97" s="1"/>
  <c r="E33" i="71"/>
  <c r="H60" i="97" s="1"/>
  <c r="E31" i="71"/>
  <c r="H58" i="97" s="1"/>
  <c r="E39" i="71"/>
  <c r="H66" i="97" s="1"/>
  <c r="E45" i="71"/>
  <c r="D21" i="132"/>
  <c r="D22" i="132" s="1"/>
  <c r="D23" i="132" s="1"/>
  <c r="D17" i="132"/>
  <c r="D18" i="132" s="1"/>
  <c r="D19" i="132" s="1"/>
  <c r="J59" i="149"/>
  <c r="K59" i="149" s="1"/>
  <c r="J55" i="149"/>
  <c r="K55" i="149" s="1"/>
  <c r="J51" i="149"/>
  <c r="K51" i="149" s="1"/>
  <c r="J47" i="149"/>
  <c r="K47" i="149" s="1"/>
  <c r="J61" i="149"/>
  <c r="K61" i="149" s="1"/>
  <c r="J58" i="149"/>
  <c r="K58" i="149" s="1"/>
  <c r="J54" i="149"/>
  <c r="K54" i="149" s="1"/>
  <c r="J50" i="149"/>
  <c r="K50" i="149" s="1"/>
  <c r="J46" i="149"/>
  <c r="K46" i="149" s="1"/>
  <c r="J57" i="149"/>
  <c r="K57" i="149" s="1"/>
  <c r="J53" i="149"/>
  <c r="K53" i="149" s="1"/>
  <c r="J49" i="149"/>
  <c r="K49" i="149" s="1"/>
  <c r="J45" i="149"/>
  <c r="J63" i="149"/>
  <c r="K63" i="149" s="1"/>
  <c r="J60" i="149"/>
  <c r="K60" i="149" s="1"/>
  <c r="J56" i="149"/>
  <c r="K56" i="149" s="1"/>
  <c r="J52" i="149"/>
  <c r="J48" i="149"/>
  <c r="K48" i="149" s="1"/>
  <c r="J44" i="149"/>
  <c r="K44" i="149" s="1"/>
  <c r="J62" i="149"/>
  <c r="K62" i="149" s="1"/>
  <c r="J17" i="149"/>
  <c r="K17" i="149" s="1"/>
  <c r="J21" i="149"/>
  <c r="K21" i="149" s="1"/>
  <c r="J25" i="149"/>
  <c r="K25" i="149" s="1"/>
  <c r="J29" i="149"/>
  <c r="K29" i="149" s="1"/>
  <c r="J32" i="149"/>
  <c r="K32" i="149" s="1"/>
  <c r="J18" i="149"/>
  <c r="K18" i="149" s="1"/>
  <c r="J22" i="149"/>
  <c r="K22" i="149" s="1"/>
  <c r="J26" i="149"/>
  <c r="K26" i="149" s="1"/>
  <c r="J30" i="149"/>
  <c r="K30" i="149" s="1"/>
  <c r="J33" i="149"/>
  <c r="K33" i="149" s="1"/>
  <c r="J15" i="149"/>
  <c r="K15" i="149" s="1"/>
  <c r="J19" i="149"/>
  <c r="K19" i="149" s="1"/>
  <c r="J23" i="149"/>
  <c r="K23" i="149" s="1"/>
  <c r="J27" i="149"/>
  <c r="K27" i="149" s="1"/>
  <c r="J31" i="149"/>
  <c r="K31" i="149" s="1"/>
  <c r="J34" i="149"/>
  <c r="K34" i="149" s="1"/>
  <c r="J16" i="149"/>
  <c r="K16" i="149" s="1"/>
  <c r="J20" i="149"/>
  <c r="K20" i="149" s="1"/>
  <c r="J24" i="149"/>
  <c r="K24" i="149" s="1"/>
  <c r="J28" i="149"/>
  <c r="K28" i="149" s="1"/>
  <c r="M19" i="149" l="1"/>
  <c r="K17" i="104"/>
  <c r="O17" i="104" s="1"/>
  <c r="M50" i="104"/>
  <c r="C61" i="149"/>
  <c r="K27" i="104"/>
  <c r="M27" i="104" s="1"/>
  <c r="K30" i="104"/>
  <c r="M30" i="104" s="1"/>
  <c r="K61" i="104"/>
  <c r="M61" i="104" s="1"/>
  <c r="K58" i="104"/>
  <c r="O58" i="104" s="1"/>
  <c r="Q58" i="104" s="1"/>
  <c r="L9" i="104"/>
  <c r="P9" i="104" s="1"/>
  <c r="H25" i="104"/>
  <c r="K24" i="104"/>
  <c r="O24" i="104" s="1"/>
  <c r="L20" i="149"/>
  <c r="I12" i="104"/>
  <c r="L12" i="104" s="1"/>
  <c r="I11" i="104"/>
  <c r="L11" i="104" s="1"/>
  <c r="P11" i="104" s="1"/>
  <c r="L53" i="104"/>
  <c r="P53" i="104" s="1"/>
  <c r="K53" i="104"/>
  <c r="O53" i="104" s="1"/>
  <c r="C58" i="149"/>
  <c r="K45" i="149"/>
  <c r="K10" i="104"/>
  <c r="H12" i="104"/>
  <c r="K12" i="104" s="1"/>
  <c r="O12" i="104" s="1"/>
  <c r="H11" i="104"/>
  <c r="K11" i="104" s="1"/>
  <c r="O11" i="104" s="1"/>
  <c r="K49" i="104"/>
  <c r="O49" i="104" s="1"/>
  <c r="Q49" i="104" s="1"/>
  <c r="K18" i="104"/>
  <c r="O18" i="104" s="1"/>
  <c r="Q18" i="104" s="1"/>
  <c r="K23" i="104"/>
  <c r="O23" i="104" s="1"/>
  <c r="Q23" i="104" s="1"/>
  <c r="K48" i="104"/>
  <c r="O48" i="104" s="1"/>
  <c r="Q48" i="104" s="1"/>
  <c r="N10" i="100"/>
  <c r="M10" i="100"/>
  <c r="M19" i="104"/>
  <c r="M22" i="104"/>
  <c r="N22" i="104"/>
  <c r="Q22" i="104" s="1"/>
  <c r="K58" i="100"/>
  <c r="O58" i="100" s="1"/>
  <c r="K15" i="100"/>
  <c r="M15" i="100" s="1"/>
  <c r="M48" i="100"/>
  <c r="K25" i="100"/>
  <c r="O25" i="100" s="1"/>
  <c r="O40" i="100"/>
  <c r="Q40" i="100" s="1"/>
  <c r="K34" i="100"/>
  <c r="O34" i="100" s="1"/>
  <c r="M26" i="100"/>
  <c r="K54" i="100"/>
  <c r="O54" i="100" s="1"/>
  <c r="K56" i="100"/>
  <c r="O56" i="100" s="1"/>
  <c r="K29" i="100"/>
  <c r="O29" i="100" s="1"/>
  <c r="K32" i="100"/>
  <c r="M32" i="100" s="1"/>
  <c r="K21" i="100"/>
  <c r="O21" i="100" s="1"/>
  <c r="Q21" i="100" s="1"/>
  <c r="K49" i="100"/>
  <c r="O49" i="100" s="1"/>
  <c r="Q49" i="100" s="1"/>
  <c r="K35" i="100"/>
  <c r="M35" i="100" s="1"/>
  <c r="M41" i="100"/>
  <c r="M16" i="149"/>
  <c r="K51" i="100"/>
  <c r="M51" i="100" s="1"/>
  <c r="K33" i="100"/>
  <c r="M33" i="100" s="1"/>
  <c r="K50" i="100"/>
  <c r="M50" i="100" s="1"/>
  <c r="K36" i="100"/>
  <c r="M36" i="100" s="1"/>
  <c r="K20" i="100"/>
  <c r="O20" i="100" s="1"/>
  <c r="K57" i="100"/>
  <c r="O57" i="100" s="1"/>
  <c r="K37" i="100"/>
  <c r="O37" i="100" s="1"/>
  <c r="K59" i="100"/>
  <c r="O59" i="100" s="1"/>
  <c r="Q59" i="100" s="1"/>
  <c r="O38" i="100"/>
  <c r="K27" i="100"/>
  <c r="O27" i="100" s="1"/>
  <c r="M51" i="104"/>
  <c r="L17" i="149"/>
  <c r="O24" i="100"/>
  <c r="Q24" i="100" s="1"/>
  <c r="M24" i="100"/>
  <c r="O23" i="100"/>
  <c r="K19" i="100"/>
  <c r="O19" i="100" s="1"/>
  <c r="K28" i="100"/>
  <c r="O28" i="100" s="1"/>
  <c r="K18" i="100"/>
  <c r="O18" i="100" s="1"/>
  <c r="K17" i="100"/>
  <c r="O17" i="100" s="1"/>
  <c r="O11" i="100"/>
  <c r="Q11" i="100" s="1"/>
  <c r="K30" i="100"/>
  <c r="M30" i="100" s="1"/>
  <c r="K52" i="100"/>
  <c r="O52" i="100" s="1"/>
  <c r="K55" i="100"/>
  <c r="O55" i="100" s="1"/>
  <c r="Q55" i="100" s="1"/>
  <c r="K16" i="100"/>
  <c r="M16" i="100" s="1"/>
  <c r="K31" i="100"/>
  <c r="O31" i="100" s="1"/>
  <c r="K14" i="100"/>
  <c r="O14" i="100" s="1"/>
  <c r="Q14" i="100" s="1"/>
  <c r="K13" i="100"/>
  <c r="M13" i="100" s="1"/>
  <c r="O39" i="100"/>
  <c r="Q39" i="100" s="1"/>
  <c r="K12" i="100"/>
  <c r="O12" i="100" s="1"/>
  <c r="Q12" i="100" s="1"/>
  <c r="K53" i="100"/>
  <c r="O53" i="100" s="1"/>
  <c r="Q20" i="104"/>
  <c r="L15" i="149"/>
  <c r="M15" i="149"/>
  <c r="L43" i="149"/>
  <c r="N43" i="149" s="1"/>
  <c r="M43" i="149"/>
  <c r="O43" i="149" s="1"/>
  <c r="M14" i="149"/>
  <c r="O14" i="149" s="1"/>
  <c r="M20" i="104"/>
  <c r="M18" i="149"/>
  <c r="M60" i="149"/>
  <c r="M21" i="149"/>
  <c r="Q52" i="104"/>
  <c r="Q51" i="104"/>
  <c r="M11" i="100"/>
  <c r="N17" i="100"/>
  <c r="N9" i="104"/>
  <c r="N29" i="100"/>
  <c r="N28" i="100"/>
  <c r="N53" i="100"/>
  <c r="N17" i="104"/>
  <c r="M40" i="100"/>
  <c r="J25" i="104"/>
  <c r="J24" i="104"/>
  <c r="G46" i="104"/>
  <c r="J46" i="104" s="1"/>
  <c r="G47" i="104"/>
  <c r="J47" i="104" s="1"/>
  <c r="G45" i="104"/>
  <c r="J45" i="104" s="1"/>
  <c r="J44" i="104"/>
  <c r="H46" i="104"/>
  <c r="H47" i="104"/>
  <c r="H45" i="104"/>
  <c r="O44" i="104"/>
  <c r="N26" i="100"/>
  <c r="M21" i="104"/>
  <c r="N21" i="104"/>
  <c r="Q21" i="104" s="1"/>
  <c r="G30" i="161"/>
  <c r="J55" i="104"/>
  <c r="J54" i="104"/>
  <c r="I60" i="104"/>
  <c r="L60" i="104" s="1"/>
  <c r="P60" i="104" s="1"/>
  <c r="L59" i="104"/>
  <c r="P59" i="104" s="1"/>
  <c r="H55" i="104"/>
  <c r="O54" i="104"/>
  <c r="N41" i="100"/>
  <c r="G60" i="104"/>
  <c r="J60" i="104" s="1"/>
  <c r="J59" i="104"/>
  <c r="N25" i="100"/>
  <c r="N56" i="100"/>
  <c r="N20" i="100"/>
  <c r="H60" i="104"/>
  <c r="O59" i="104"/>
  <c r="I25" i="104"/>
  <c r="L25" i="104" s="1"/>
  <c r="P25" i="104" s="1"/>
  <c r="L24" i="104"/>
  <c r="P24" i="104" s="1"/>
  <c r="N31" i="100"/>
  <c r="I29" i="104"/>
  <c r="L29" i="104" s="1"/>
  <c r="P29" i="104" s="1"/>
  <c r="L28" i="104"/>
  <c r="P28" i="104" s="1"/>
  <c r="H14" i="104"/>
  <c r="H15" i="104"/>
  <c r="H16" i="104"/>
  <c r="O13" i="104"/>
  <c r="I15" i="104"/>
  <c r="L15" i="104" s="1"/>
  <c r="P15" i="104" s="1"/>
  <c r="I14" i="104"/>
  <c r="L14" i="104" s="1"/>
  <c r="P14" i="104" s="1"/>
  <c r="I16" i="104"/>
  <c r="L16" i="104" s="1"/>
  <c r="P16" i="104" s="1"/>
  <c r="L13" i="104"/>
  <c r="P13" i="104" s="1"/>
  <c r="G29" i="104"/>
  <c r="J29" i="104" s="1"/>
  <c r="J28" i="104"/>
  <c r="H29" i="104"/>
  <c r="O28" i="104"/>
  <c r="N38" i="100"/>
  <c r="M38" i="100"/>
  <c r="N57" i="100"/>
  <c r="N16" i="100"/>
  <c r="M52" i="104"/>
  <c r="P12" i="104"/>
  <c r="L10" i="104"/>
  <c r="H42" i="104"/>
  <c r="H43" i="104"/>
  <c r="O41" i="104"/>
  <c r="N36" i="100"/>
  <c r="N19" i="100"/>
  <c r="N37" i="100"/>
  <c r="N34" i="100"/>
  <c r="J14" i="104"/>
  <c r="G16" i="104"/>
  <c r="J16" i="104" s="1"/>
  <c r="G15" i="104"/>
  <c r="J15" i="104" s="1"/>
  <c r="J13" i="104"/>
  <c r="M23" i="100"/>
  <c r="N23" i="100"/>
  <c r="N27" i="100"/>
  <c r="N58" i="100"/>
  <c r="M39" i="100"/>
  <c r="G11" i="104"/>
  <c r="J11" i="104" s="1"/>
  <c r="G12" i="104"/>
  <c r="J12" i="104" s="1"/>
  <c r="J10" i="104"/>
  <c r="I55" i="104"/>
  <c r="L55" i="104" s="1"/>
  <c r="P55" i="104" s="1"/>
  <c r="P54" i="104"/>
  <c r="I42" i="104"/>
  <c r="L42" i="104" s="1"/>
  <c r="P42" i="104" s="1"/>
  <c r="I43" i="104"/>
  <c r="L43" i="104" s="1"/>
  <c r="P43" i="104" s="1"/>
  <c r="L41" i="104"/>
  <c r="P41" i="104" s="1"/>
  <c r="G43" i="104"/>
  <c r="J43" i="104" s="1"/>
  <c r="G42" i="104"/>
  <c r="J42" i="104" s="1"/>
  <c r="J41" i="104"/>
  <c r="N41" i="104" s="1"/>
  <c r="I47" i="104"/>
  <c r="L47" i="104" s="1"/>
  <c r="P47" i="104" s="1"/>
  <c r="I46" i="104"/>
  <c r="L46" i="104" s="1"/>
  <c r="P46" i="104" s="1"/>
  <c r="I45" i="104"/>
  <c r="L45" i="104" s="1"/>
  <c r="P45" i="104" s="1"/>
  <c r="L44" i="104"/>
  <c r="P44" i="104" s="1"/>
  <c r="N52" i="100"/>
  <c r="N30" i="100"/>
  <c r="N54" i="100"/>
  <c r="N18" i="100"/>
  <c r="N23" i="111"/>
  <c r="N27" i="111" s="1"/>
  <c r="O27" i="111" s="1"/>
  <c r="N35" i="97"/>
  <c r="O35" i="97" s="1"/>
  <c r="K35" i="97"/>
  <c r="J43" i="97"/>
  <c r="K43" i="97" s="1"/>
  <c r="J46" i="97"/>
  <c r="K46" i="97" s="1"/>
  <c r="J33" i="97"/>
  <c r="N33" i="97" s="1"/>
  <c r="O33" i="97" s="1"/>
  <c r="J32" i="97"/>
  <c r="S32" i="97"/>
  <c r="J45" i="97"/>
  <c r="N45" i="97" s="1"/>
  <c r="O45" i="97" s="1"/>
  <c r="J40" i="97"/>
  <c r="N40" i="97" s="1"/>
  <c r="O40" i="97" s="1"/>
  <c r="S40" i="97"/>
  <c r="T40" i="97" s="1"/>
  <c r="J44" i="97"/>
  <c r="J34" i="97"/>
  <c r="N34" i="97" s="1"/>
  <c r="O34" i="97" s="1"/>
  <c r="Q71" i="100"/>
  <c r="G24" i="128" s="1"/>
  <c r="Q70" i="100"/>
  <c r="G23" i="128" s="1"/>
  <c r="Q69" i="100"/>
  <c r="D56" i="151"/>
  <c r="D60" i="151" s="1"/>
  <c r="D65" i="151" s="1"/>
  <c r="Q22" i="100"/>
  <c r="D25" i="132"/>
  <c r="F41" i="128" s="1"/>
  <c r="J52" i="128"/>
  <c r="F30" i="128"/>
  <c r="L52" i="128"/>
  <c r="M22" i="100"/>
  <c r="G27" i="128"/>
  <c r="H31" i="128"/>
  <c r="G10" i="128" s="1"/>
  <c r="E26" i="150"/>
  <c r="F42" i="128" s="1"/>
  <c r="P10" i="100"/>
  <c r="K39" i="97"/>
  <c r="N48" i="97"/>
  <c r="O48" i="97" s="1"/>
  <c r="K36" i="97"/>
  <c r="K41" i="97"/>
  <c r="I25" i="111"/>
  <c r="K27" i="111"/>
  <c r="N38" i="97"/>
  <c r="O38" i="97" s="1"/>
  <c r="K38" i="97"/>
  <c r="N42" i="97"/>
  <c r="O42" i="97" s="1"/>
  <c r="K42" i="97"/>
  <c r="N47" i="97"/>
  <c r="O47" i="97" s="1"/>
  <c r="K47" i="97"/>
  <c r="N52" i="128"/>
  <c r="M32" i="149"/>
  <c r="L32" i="149"/>
  <c r="M44" i="149"/>
  <c r="L44" i="149"/>
  <c r="M49" i="149"/>
  <c r="L49" i="149"/>
  <c r="L58" i="149"/>
  <c r="M58" i="149"/>
  <c r="M28" i="149"/>
  <c r="L28" i="149"/>
  <c r="M33" i="149"/>
  <c r="L33" i="149"/>
  <c r="M48" i="149"/>
  <c r="L48" i="149"/>
  <c r="M53" i="149"/>
  <c r="L53" i="149"/>
  <c r="M61" i="149"/>
  <c r="L61" i="149"/>
  <c r="M24" i="149"/>
  <c r="L24" i="149"/>
  <c r="M30" i="149"/>
  <c r="L30" i="149"/>
  <c r="M29" i="149"/>
  <c r="L29" i="149"/>
  <c r="M57" i="149"/>
  <c r="L57" i="149"/>
  <c r="M20" i="149"/>
  <c r="M31" i="149"/>
  <c r="L31" i="149"/>
  <c r="M26" i="149"/>
  <c r="L26" i="149"/>
  <c r="M25" i="149"/>
  <c r="L25" i="149"/>
  <c r="M56" i="149"/>
  <c r="L56" i="149"/>
  <c r="L16" i="149"/>
  <c r="M22" i="149"/>
  <c r="L22" i="149"/>
  <c r="L21" i="149"/>
  <c r="L60" i="149"/>
  <c r="M47" i="149"/>
  <c r="L47" i="149"/>
  <c r="M23" i="149"/>
  <c r="L23" i="149"/>
  <c r="L18" i="149"/>
  <c r="M17" i="149"/>
  <c r="L46" i="149"/>
  <c r="M46" i="149"/>
  <c r="M51" i="149"/>
  <c r="L51" i="149"/>
  <c r="M27" i="149"/>
  <c r="L27" i="149"/>
  <c r="L19" i="149"/>
  <c r="L14" i="149"/>
  <c r="N14" i="149" s="1"/>
  <c r="M62" i="149"/>
  <c r="L62" i="149"/>
  <c r="M63" i="149"/>
  <c r="L63" i="149"/>
  <c r="L50" i="149"/>
  <c r="M50" i="149"/>
  <c r="M55" i="149"/>
  <c r="L55" i="149"/>
  <c r="L34" i="149"/>
  <c r="M34" i="149"/>
  <c r="L54" i="149"/>
  <c r="M54" i="149"/>
  <c r="M59" i="149"/>
  <c r="L59" i="149"/>
  <c r="M9" i="104" l="1"/>
  <c r="O44" i="149"/>
  <c r="M23" i="104"/>
  <c r="M58" i="104"/>
  <c r="M17" i="104"/>
  <c r="M53" i="104"/>
  <c r="M49" i="104"/>
  <c r="M18" i="104"/>
  <c r="L45" i="149"/>
  <c r="Q17" i="104"/>
  <c r="M48" i="104"/>
  <c r="Q53" i="104"/>
  <c r="Q41" i="104"/>
  <c r="K15" i="104"/>
  <c r="O15" i="104" s="1"/>
  <c r="O61" i="104"/>
  <c r="Q61" i="104" s="1"/>
  <c r="K29" i="104"/>
  <c r="O29" i="104" s="1"/>
  <c r="K14" i="104"/>
  <c r="M14" i="104" s="1"/>
  <c r="D66" i="151"/>
  <c r="D67" i="151" s="1"/>
  <c r="D74" i="151" s="1"/>
  <c r="D75" i="151" s="1"/>
  <c r="K60" i="104"/>
  <c r="O60" i="104" s="1"/>
  <c r="O30" i="104"/>
  <c r="Q30" i="104" s="1"/>
  <c r="Q9" i="104"/>
  <c r="K46" i="104"/>
  <c r="O46" i="104" s="1"/>
  <c r="K16" i="104"/>
  <c r="O16" i="104" s="1"/>
  <c r="K43" i="104"/>
  <c r="O43" i="104" s="1"/>
  <c r="K45" i="104"/>
  <c r="O45" i="104" s="1"/>
  <c r="O27" i="104"/>
  <c r="Q27" i="104" s="1"/>
  <c r="M45" i="149"/>
  <c r="K42" i="104"/>
  <c r="O42" i="104" s="1"/>
  <c r="K47" i="104"/>
  <c r="O47" i="104" s="1"/>
  <c r="K40" i="97"/>
  <c r="M12" i="100"/>
  <c r="P43" i="149"/>
  <c r="M34" i="100"/>
  <c r="M29" i="100"/>
  <c r="M59" i="100"/>
  <c r="M54" i="100"/>
  <c r="M52" i="100"/>
  <c r="M14" i="100"/>
  <c r="O36" i="100"/>
  <c r="Q36" i="100" s="1"/>
  <c r="M31" i="100"/>
  <c r="M28" i="100"/>
  <c r="M18" i="100"/>
  <c r="M19" i="100"/>
  <c r="M25" i="100"/>
  <c r="M49" i="100"/>
  <c r="O35" i="100"/>
  <c r="Q35" i="100" s="1"/>
  <c r="Q34" i="100"/>
  <c r="M53" i="100"/>
  <c r="M27" i="100"/>
  <c r="M21" i="100"/>
  <c r="K55" i="104"/>
  <c r="O55" i="104" s="1"/>
  <c r="K25" i="104"/>
  <c r="O25" i="104" s="1"/>
  <c r="M58" i="100"/>
  <c r="M57" i="100"/>
  <c r="M56" i="100"/>
  <c r="M55" i="100"/>
  <c r="M37" i="100"/>
  <c r="Q31" i="100"/>
  <c r="O30" i="100"/>
  <c r="Q30" i="100" s="1"/>
  <c r="Q29" i="100"/>
  <c r="M20" i="100"/>
  <c r="M17" i="100"/>
  <c r="Q58" i="100"/>
  <c r="Q54" i="100"/>
  <c r="K33" i="97"/>
  <c r="Q37" i="100"/>
  <c r="Q53" i="100"/>
  <c r="Q17" i="100"/>
  <c r="O13" i="100"/>
  <c r="Q13" i="100" s="1"/>
  <c r="O16" i="100"/>
  <c r="Q16" i="100" s="1"/>
  <c r="O41" i="100"/>
  <c r="Q41" i="100" s="1"/>
  <c r="O32" i="100"/>
  <c r="Q32" i="100" s="1"/>
  <c r="O26" i="100"/>
  <c r="Q26" i="100" s="1"/>
  <c r="O48" i="100"/>
  <c r="Q48" i="100" s="1"/>
  <c r="Q27" i="100"/>
  <c r="Q25" i="100"/>
  <c r="O50" i="100"/>
  <c r="Q50" i="100" s="1"/>
  <c r="F27" i="128" s="1"/>
  <c r="I27" i="128" s="1"/>
  <c r="Q38" i="100"/>
  <c r="Q19" i="100"/>
  <c r="Q52" i="100"/>
  <c r="Q28" i="100"/>
  <c r="O33" i="100"/>
  <c r="Q33" i="100" s="1"/>
  <c r="O15" i="100"/>
  <c r="Q15" i="100" s="1"/>
  <c r="Q57" i="100"/>
  <c r="Q23" i="100"/>
  <c r="Q18" i="100"/>
  <c r="Q20" i="100"/>
  <c r="O51" i="100"/>
  <c r="Q51" i="100" s="1"/>
  <c r="Q56" i="100"/>
  <c r="O15" i="149"/>
  <c r="N43" i="97"/>
  <c r="O43" i="97" s="1"/>
  <c r="P14" i="149"/>
  <c r="Q14" i="149" s="1"/>
  <c r="R14" i="149" s="1"/>
  <c r="N60" i="104"/>
  <c r="N55" i="104"/>
  <c r="Q55" i="104" s="1"/>
  <c r="N25" i="104"/>
  <c r="M11" i="104"/>
  <c r="N11" i="104"/>
  <c r="Q11" i="104" s="1"/>
  <c r="O29" i="111"/>
  <c r="F11" i="111" s="1"/>
  <c r="N46" i="97"/>
  <c r="O46" i="97" s="1"/>
  <c r="M28" i="104"/>
  <c r="N28" i="104"/>
  <c r="Q28" i="104" s="1"/>
  <c r="N54" i="104"/>
  <c r="Q54" i="104" s="1"/>
  <c r="M54" i="104"/>
  <c r="N13" i="104"/>
  <c r="Q13" i="104" s="1"/>
  <c r="M13" i="104"/>
  <c r="N29" i="104"/>
  <c r="N44" i="104"/>
  <c r="Q44" i="104" s="1"/>
  <c r="M44" i="104"/>
  <c r="N15" i="104"/>
  <c r="M15" i="104"/>
  <c r="N45" i="104"/>
  <c r="N43" i="104"/>
  <c r="N59" i="104"/>
  <c r="Q59" i="104" s="1"/>
  <c r="M59" i="104"/>
  <c r="M41" i="104"/>
  <c r="M10" i="104"/>
  <c r="N16" i="104"/>
  <c r="N47" i="104"/>
  <c r="M24" i="104"/>
  <c r="N24" i="104"/>
  <c r="Q24" i="104" s="1"/>
  <c r="N42" i="104"/>
  <c r="M12" i="104"/>
  <c r="N12" i="104"/>
  <c r="Q12" i="104" s="1"/>
  <c r="N14" i="104"/>
  <c r="N46" i="104"/>
  <c r="T32" i="97"/>
  <c r="S49" i="97" s="1"/>
  <c r="R49" i="97"/>
  <c r="K45" i="97"/>
  <c r="N32" i="97"/>
  <c r="K32" i="97"/>
  <c r="K34" i="97"/>
  <c r="N44" i="97"/>
  <c r="O44" i="97" s="1"/>
  <c r="K44" i="97"/>
  <c r="G22" i="128"/>
  <c r="G20" i="109"/>
  <c r="I30" i="128"/>
  <c r="G28" i="128"/>
  <c r="Q10" i="100"/>
  <c r="P19" i="104"/>
  <c r="I42" i="128"/>
  <c r="N50" i="104"/>
  <c r="O50" i="104"/>
  <c r="P50" i="104"/>
  <c r="M43" i="104" l="1"/>
  <c r="M16" i="104"/>
  <c r="Q43" i="149"/>
  <c r="R43" i="149" s="1"/>
  <c r="M29" i="104"/>
  <c r="M45" i="104"/>
  <c r="N49" i="97"/>
  <c r="M42" i="104"/>
  <c r="M47" i="104"/>
  <c r="M60" i="104"/>
  <c r="D77" i="151"/>
  <c r="O14" i="104"/>
  <c r="Q14" i="104" s="1"/>
  <c r="Q42" i="104"/>
  <c r="M25" i="104"/>
  <c r="M55" i="104"/>
  <c r="Q43" i="104"/>
  <c r="Q15" i="104"/>
  <c r="Q46" i="104"/>
  <c r="M46" i="104"/>
  <c r="Q16" i="104"/>
  <c r="Q45" i="104"/>
  <c r="Q47" i="104"/>
  <c r="Q29" i="104"/>
  <c r="F37" i="128" s="1"/>
  <c r="Q60" i="104"/>
  <c r="H35" i="128"/>
  <c r="Q25" i="104"/>
  <c r="F35" i="128" s="1"/>
  <c r="F24" i="128"/>
  <c r="F23" i="128"/>
  <c r="I23" i="128" s="1"/>
  <c r="F30" i="161"/>
  <c r="O32" i="97"/>
  <c r="O49" i="97" s="1"/>
  <c r="F10" i="128"/>
  <c r="F17" i="128" s="1"/>
  <c r="F22" i="128"/>
  <c r="N10" i="104"/>
  <c r="Q50" i="104"/>
  <c r="H34" i="128" s="1"/>
  <c r="F28" i="128"/>
  <c r="I28" i="128" s="1"/>
  <c r="N19" i="104"/>
  <c r="O19" i="104"/>
  <c r="G31" i="128"/>
  <c r="F15" i="161" s="1"/>
  <c r="D78" i="151" l="1"/>
  <c r="F43" i="128" s="1"/>
  <c r="I43" i="128" s="1"/>
  <c r="H33" i="128"/>
  <c r="G12" i="128" s="1"/>
  <c r="I37" i="128"/>
  <c r="I35" i="128"/>
  <c r="I22" i="128"/>
  <c r="F54" i="128"/>
  <c r="F57" i="128"/>
  <c r="F56" i="128" s="1"/>
  <c r="P10" i="104"/>
  <c r="O10" i="104"/>
  <c r="G64" i="128"/>
  <c r="Q19" i="104"/>
  <c r="F34" i="128" s="1"/>
  <c r="G31" i="161" l="1"/>
  <c r="G35" i="161" s="1"/>
  <c r="H38" i="128"/>
  <c r="I57" i="128"/>
  <c r="I56" i="128"/>
  <c r="I54" i="128"/>
  <c r="Q10" i="104"/>
  <c r="F33" i="128" s="1"/>
  <c r="I34" i="128"/>
  <c r="F20" i="161"/>
  <c r="F35" i="161" l="1"/>
  <c r="P15" i="149"/>
  <c r="Q15" i="149" s="1"/>
  <c r="R15" i="149" s="1"/>
  <c r="N15" i="149"/>
  <c r="P44" i="149"/>
  <c r="Q44" i="149" s="1"/>
  <c r="R44" i="149" s="1"/>
  <c r="N44" i="149"/>
  <c r="O45" i="149" s="1"/>
  <c r="I33" i="128"/>
  <c r="H64" i="128"/>
  <c r="G17" i="128"/>
  <c r="P45" i="149" l="1"/>
  <c r="Q45" i="149" s="1"/>
  <c r="R45" i="149" s="1"/>
  <c r="N45" i="149"/>
  <c r="N16" i="149"/>
  <c r="O16" i="149"/>
  <c r="O46" i="149" l="1"/>
  <c r="N46" i="149"/>
  <c r="O47" i="149" s="1"/>
  <c r="P16" i="149"/>
  <c r="Q16" i="149" s="1"/>
  <c r="R16" i="149" s="1"/>
  <c r="N17" i="149"/>
  <c r="O17" i="149"/>
  <c r="P17" i="149" s="1"/>
  <c r="Q17" i="149" s="1"/>
  <c r="R17" i="149" s="1"/>
  <c r="P46" i="149"/>
  <c r="Q46" i="149" s="1"/>
  <c r="R46" i="149" s="1"/>
  <c r="N47" i="149" l="1"/>
  <c r="O48" i="149" s="1"/>
  <c r="P47" i="149"/>
  <c r="Q47" i="149" s="1"/>
  <c r="R47" i="149" s="1"/>
  <c r="N18" i="149"/>
  <c r="O18" i="149"/>
  <c r="P18" i="149" s="1"/>
  <c r="Q18" i="149" s="1"/>
  <c r="R18" i="149" s="1"/>
  <c r="F44" i="128" l="1"/>
  <c r="E14" i="128" s="1"/>
  <c r="N19" i="149"/>
  <c r="O19" i="149"/>
  <c r="P48" i="149"/>
  <c r="Q48" i="149" s="1"/>
  <c r="R48" i="149" s="1"/>
  <c r="N48" i="149"/>
  <c r="O49" i="149" s="1"/>
  <c r="P19" i="149" l="1"/>
  <c r="Q19" i="149" s="1"/>
  <c r="R19" i="149" s="1"/>
  <c r="N49" i="149"/>
  <c r="O50" i="149" s="1"/>
  <c r="P49" i="149"/>
  <c r="Q49" i="149" s="1"/>
  <c r="R49" i="149" s="1"/>
  <c r="N20" i="149"/>
  <c r="O20" i="149"/>
  <c r="P20" i="149" s="1"/>
  <c r="Q20" i="149" s="1"/>
  <c r="R20" i="149" s="1"/>
  <c r="N21" i="149" l="1"/>
  <c r="O21" i="149"/>
  <c r="P21" i="149" s="1"/>
  <c r="Q21" i="149" s="1"/>
  <c r="R21" i="149" s="1"/>
  <c r="N50" i="149"/>
  <c r="O51" i="149" s="1"/>
  <c r="P50" i="149"/>
  <c r="Q50" i="149" s="1"/>
  <c r="R50" i="149" s="1"/>
  <c r="N51" i="149" l="1"/>
  <c r="P51" i="149"/>
  <c r="Q51" i="149" s="1"/>
  <c r="R51" i="149" s="1"/>
  <c r="N22" i="149"/>
  <c r="O23" i="149" s="1"/>
  <c r="O22" i="149"/>
  <c r="P22" i="149" s="1"/>
  <c r="Q22" i="149" s="1"/>
  <c r="R22" i="149" s="1"/>
  <c r="P23" i="149" l="1"/>
  <c r="Q23" i="149" s="1"/>
  <c r="R23" i="149" s="1"/>
  <c r="N23" i="149"/>
  <c r="O24" i="149" l="1"/>
  <c r="P24" i="149" s="1"/>
  <c r="Q24" i="149" s="1"/>
  <c r="R24" i="149" s="1"/>
  <c r="N24" i="149"/>
  <c r="O25" i="149" l="1"/>
  <c r="P25" i="149" s="1"/>
  <c r="Q25" i="149" s="1"/>
  <c r="R25" i="149" s="1"/>
  <c r="N25" i="149"/>
  <c r="O26" i="149" l="1"/>
  <c r="P26" i="149" s="1"/>
  <c r="Q26" i="149" s="1"/>
  <c r="R26" i="149" s="1"/>
  <c r="N26" i="149"/>
  <c r="O27" i="149" s="1"/>
  <c r="N27" i="149" l="1"/>
  <c r="P27" i="149"/>
  <c r="Q27" i="149" s="1"/>
  <c r="R27" i="149" s="1"/>
  <c r="O28" i="149" l="1"/>
  <c r="P28" i="149" s="1"/>
  <c r="Q28" i="149" s="1"/>
  <c r="R28" i="149" s="1"/>
  <c r="N28" i="149"/>
  <c r="N29" i="149" l="1"/>
  <c r="O29" i="149"/>
  <c r="P29" i="149" s="1"/>
  <c r="Q29" i="149" s="1"/>
  <c r="R29" i="149" s="1"/>
  <c r="O30" i="149" l="1"/>
  <c r="P30" i="149" s="1"/>
  <c r="Q30" i="149" s="1"/>
  <c r="R30" i="149" s="1"/>
  <c r="N30" i="149"/>
  <c r="N31" i="149" l="1"/>
  <c r="O31" i="149"/>
  <c r="P31" i="149" s="1"/>
  <c r="Q31" i="149" s="1"/>
  <c r="R31" i="149" s="1"/>
  <c r="N32" i="149" l="1"/>
  <c r="O32" i="149"/>
  <c r="P32" i="149" s="1"/>
  <c r="Q32" i="149" s="1"/>
  <c r="R32" i="149" s="1"/>
  <c r="N33" i="149" l="1"/>
  <c r="O33" i="149"/>
  <c r="P33" i="149" s="1"/>
  <c r="Q33" i="149" s="1"/>
  <c r="R33" i="149" s="1"/>
  <c r="N34" i="149" l="1"/>
  <c r="O34" i="149"/>
  <c r="P34" i="149" s="1"/>
  <c r="Q34" i="149" s="1"/>
  <c r="R34" i="149" s="1"/>
  <c r="I24" i="128" l="1"/>
  <c r="F25" i="128" l="1"/>
  <c r="E15" i="161" s="1"/>
  <c r="F26" i="128" l="1"/>
  <c r="E11" i="128" s="1"/>
  <c r="I25" i="128"/>
  <c r="F31" i="128" l="1"/>
  <c r="H15" i="161"/>
  <c r="I31" i="128"/>
  <c r="E10" i="128" l="1"/>
  <c r="H10" i="128" s="1"/>
  <c r="I10" i="128" s="1"/>
  <c r="E30" i="161"/>
  <c r="H30" i="161" s="1"/>
  <c r="N24" i="128"/>
  <c r="M29" i="128"/>
  <c r="N27" i="128"/>
  <c r="M28" i="128"/>
  <c r="L24" i="128"/>
  <c r="K23" i="128"/>
  <c r="M22" i="128"/>
  <c r="J30" i="128"/>
  <c r="L30" i="128"/>
  <c r="K24" i="128"/>
  <c r="L23" i="128"/>
  <c r="N29" i="128"/>
  <c r="J22" i="128"/>
  <c r="M27" i="128"/>
  <c r="J27" i="128"/>
  <c r="K22" i="128"/>
  <c r="K28" i="128"/>
  <c r="N30" i="128"/>
  <c r="L22" i="128"/>
  <c r="L25" i="128"/>
  <c r="J23" i="128"/>
  <c r="M24" i="128"/>
  <c r="J29" i="128"/>
  <c r="L29" i="128"/>
  <c r="J24" i="128"/>
  <c r="L27" i="128"/>
  <c r="M23" i="128"/>
  <c r="M30" i="128"/>
  <c r="N22" i="128"/>
  <c r="K27" i="128"/>
  <c r="K25" i="128"/>
  <c r="M31" i="128"/>
  <c r="L28" i="128"/>
  <c r="J28" i="128"/>
  <c r="N23" i="128"/>
  <c r="N28" i="128"/>
  <c r="J25" i="128"/>
  <c r="I41" i="128" s="1"/>
  <c r="N25" i="128"/>
  <c r="M25" i="128"/>
  <c r="N31" i="128" l="1"/>
  <c r="L31" i="128"/>
  <c r="K31" i="128"/>
  <c r="J31" i="128"/>
  <c r="P26" i="104" l="1"/>
  <c r="N26" i="104" l="1"/>
  <c r="O26" i="104"/>
  <c r="Q26" i="104" l="1"/>
  <c r="F36" i="128" s="1"/>
  <c r="K52" i="149"/>
  <c r="L52" i="149" s="1"/>
  <c r="N52" i="149" s="1"/>
  <c r="O53" i="149" s="1"/>
  <c r="I36" i="128" l="1"/>
  <c r="F38" i="128"/>
  <c r="N53" i="149"/>
  <c r="O54" i="149" s="1"/>
  <c r="P53" i="149"/>
  <c r="Q53" i="149" s="1"/>
  <c r="R53" i="149" s="1"/>
  <c r="M52" i="149"/>
  <c r="E12" i="128" l="1"/>
  <c r="H12" i="128" s="1"/>
  <c r="I12" i="128" s="1"/>
  <c r="E16" i="161"/>
  <c r="I38" i="128"/>
  <c r="N36" i="128" s="1"/>
  <c r="O52" i="149"/>
  <c r="P52" i="149" s="1"/>
  <c r="Q52" i="149" s="1"/>
  <c r="R52" i="149" s="1"/>
  <c r="F40" i="128" s="1"/>
  <c r="P54" i="149"/>
  <c r="Q54" i="149" s="1"/>
  <c r="R54" i="149" s="1"/>
  <c r="N54" i="149"/>
  <c r="O55" i="149" s="1"/>
  <c r="M36" i="128" l="1"/>
  <c r="E31" i="161"/>
  <c r="H31" i="161" s="1"/>
  <c r="H16" i="161"/>
  <c r="M33" i="128"/>
  <c r="K33" i="128"/>
  <c r="J35" i="128"/>
  <c r="N35" i="128"/>
  <c r="K35" i="128"/>
  <c r="M35" i="128"/>
  <c r="N34" i="128"/>
  <c r="L34" i="128"/>
  <c r="L35" i="128"/>
  <c r="N33" i="128"/>
  <c r="M38" i="128"/>
  <c r="K34" i="128"/>
  <c r="J37" i="128"/>
  <c r="N37" i="128"/>
  <c r="K37" i="128"/>
  <c r="J34" i="128"/>
  <c r="L37" i="128"/>
  <c r="J33" i="128"/>
  <c r="K36" i="128"/>
  <c r="M37" i="128"/>
  <c r="M34" i="128"/>
  <c r="L36" i="128"/>
  <c r="L33" i="128"/>
  <c r="J36" i="128"/>
  <c r="E17" i="161"/>
  <c r="E20" i="161" s="1"/>
  <c r="E13" i="128"/>
  <c r="H13" i="128" s="1"/>
  <c r="I40" i="128"/>
  <c r="I48" i="128" s="1"/>
  <c r="M40" i="128" s="1"/>
  <c r="F48" i="128"/>
  <c r="P55" i="149"/>
  <c r="Q55" i="149" s="1"/>
  <c r="R55" i="149" s="1"/>
  <c r="N55" i="149"/>
  <c r="O56" i="149" s="1"/>
  <c r="J38" i="128" l="1"/>
  <c r="K38" i="128"/>
  <c r="K64" i="128" s="1"/>
  <c r="N38" i="128"/>
  <c r="L38" i="128"/>
  <c r="E32" i="161"/>
  <c r="H32" i="161" s="1"/>
  <c r="H17" i="161"/>
  <c r="H20" i="161" s="1"/>
  <c r="H17" i="128"/>
  <c r="I13" i="128"/>
  <c r="P56" i="149"/>
  <c r="Q56" i="149" s="1"/>
  <c r="R56" i="149" s="1"/>
  <c r="N56" i="149"/>
  <c r="O57" i="149" s="1"/>
  <c r="L41" i="128"/>
  <c r="L43" i="128"/>
  <c r="J43" i="128"/>
  <c r="L42" i="128"/>
  <c r="M41" i="128"/>
  <c r="M42" i="128"/>
  <c r="L40" i="128"/>
  <c r="J42" i="128"/>
  <c r="N42" i="128"/>
  <c r="M43" i="128"/>
  <c r="J41" i="128"/>
  <c r="N43" i="128"/>
  <c r="N41" i="128"/>
  <c r="M48" i="128"/>
  <c r="J40" i="128"/>
  <c r="N40" i="128"/>
  <c r="K9" i="161" l="1"/>
  <c r="I15" i="161"/>
  <c r="J16" i="161"/>
  <c r="K11" i="161"/>
  <c r="K17" i="161"/>
  <c r="K20" i="161" s="1"/>
  <c r="K8" i="161"/>
  <c r="I17" i="161"/>
  <c r="K10" i="161"/>
  <c r="I16" i="161"/>
  <c r="J15" i="161"/>
  <c r="L48" i="128"/>
  <c r="P57" i="149"/>
  <c r="Q57" i="149" s="1"/>
  <c r="R57" i="149" s="1"/>
  <c r="N57" i="149"/>
  <c r="O58" i="149" s="1"/>
  <c r="N48" i="128"/>
  <c r="J48" i="128"/>
  <c r="L16" i="161" l="1"/>
  <c r="L17" i="161"/>
  <c r="J20" i="161"/>
  <c r="L15" i="161"/>
  <c r="I20" i="161"/>
  <c r="N58" i="149"/>
  <c r="O59" i="149" s="1"/>
  <c r="P58" i="149"/>
  <c r="Q58" i="149" s="1"/>
  <c r="R58" i="149" s="1"/>
  <c r="L20" i="161" l="1"/>
  <c r="P59" i="149"/>
  <c r="Q59" i="149" s="1"/>
  <c r="R59" i="149" s="1"/>
  <c r="N59" i="149"/>
  <c r="N60" i="149" l="1"/>
  <c r="O61" i="149" s="1"/>
  <c r="O60" i="149"/>
  <c r="P60" i="149" s="1"/>
  <c r="Q60" i="149" s="1"/>
  <c r="R60" i="149" s="1"/>
  <c r="P61" i="149" l="1"/>
  <c r="Q61" i="149" s="1"/>
  <c r="R61" i="149" s="1"/>
  <c r="N61" i="149"/>
  <c r="O62" i="149" s="1"/>
  <c r="N62" i="149" l="1"/>
  <c r="O63" i="149" s="1"/>
  <c r="P62" i="149"/>
  <c r="Q62" i="149" s="1"/>
  <c r="R62" i="149" s="1"/>
  <c r="N63" i="149" l="1"/>
  <c r="P63" i="149"/>
  <c r="Q63" i="149" s="1"/>
  <c r="R63" i="149" s="1"/>
  <c r="I25" i="164"/>
  <c r="I26" i="164"/>
  <c r="I27" i="164"/>
  <c r="I28" i="164"/>
  <c r="I29" i="164"/>
  <c r="I30" i="164"/>
  <c r="I31" i="164"/>
  <c r="I32" i="164"/>
  <c r="H11" i="158" l="1"/>
  <c r="H15" i="158"/>
  <c r="D350" i="158" s="1"/>
  <c r="F350" i="158" s="1"/>
  <c r="I24" i="158" s="1"/>
  <c r="D341" i="158" l="1"/>
  <c r="M341" i="158" s="1"/>
  <c r="H24" i="158" s="1"/>
  <c r="J24" i="158" s="1"/>
  <c r="D327" i="158"/>
  <c r="H327" i="158" s="1"/>
  <c r="G24" i="158" s="1"/>
  <c r="D318" i="158"/>
  <c r="I318" i="158" s="1"/>
  <c r="F24" i="158" s="1"/>
  <c r="J39" i="158"/>
  <c r="E46" i="158"/>
  <c r="E55" i="158" s="1"/>
  <c r="J38" i="158"/>
  <c r="J46" i="158" s="1"/>
  <c r="J55" i="158" s="1"/>
  <c r="D21" i="158" s="1"/>
  <c r="F21" i="158" l="1"/>
  <c r="K21" i="158" s="1"/>
  <c r="G145" i="158"/>
  <c r="G149" i="158" s="1"/>
  <c r="G158" i="158" s="1"/>
  <c r="E158" i="158"/>
  <c r="K24" i="158"/>
  <c r="L21" i="158" l="1"/>
  <c r="M21" i="158" s="1"/>
  <c r="K20" i="158"/>
  <c r="L24" i="158"/>
  <c r="F55" i="128" s="1"/>
  <c r="I55" i="128" l="1"/>
  <c r="I62" i="128" s="1"/>
  <c r="F62" i="128"/>
  <c r="L20" i="158"/>
  <c r="M24" i="158"/>
  <c r="E34" i="161" l="1"/>
  <c r="H34" i="161" s="1"/>
  <c r="H35" i="161" s="1"/>
  <c r="E16" i="128"/>
  <c r="E17" i="128" s="1"/>
  <c r="M55" i="128"/>
  <c r="J60" i="128"/>
  <c r="F64" i="128"/>
  <c r="I64" i="128"/>
  <c r="N60" i="128"/>
  <c r="M62" i="128"/>
  <c r="M64" i="128" s="1"/>
  <c r="M54" i="128"/>
  <c r="N58" i="128"/>
  <c r="M61" i="128"/>
  <c r="N57" i="128"/>
  <c r="M57" i="128"/>
  <c r="J54" i="128"/>
  <c r="L55" i="128"/>
  <c r="N61" i="128"/>
  <c r="M59" i="128"/>
  <c r="J59" i="128"/>
  <c r="L54" i="128"/>
  <c r="J58" i="128"/>
  <c r="J61" i="128"/>
  <c r="N54" i="128"/>
  <c r="J57" i="128"/>
  <c r="N59" i="128"/>
  <c r="M58" i="128"/>
  <c r="M60" i="128"/>
  <c r="J55" i="128"/>
  <c r="N55" i="128"/>
  <c r="E35" i="161" l="1"/>
  <c r="J62" i="128"/>
  <c r="I16" i="128"/>
  <c r="I17" i="128" s="1"/>
  <c r="L62" i="128"/>
  <c r="L64" i="128" s="1"/>
  <c r="N62" i="128"/>
  <c r="N64" i="128" s="1"/>
  <c r="I33" i="161"/>
  <c r="L33" i="161" s="1"/>
  <c r="K31" i="161"/>
  <c r="K25" i="161"/>
  <c r="K23" i="161"/>
  <c r="J31" i="161"/>
  <c r="K32" i="161"/>
  <c r="J30" i="161"/>
  <c r="I30" i="161"/>
  <c r="K24" i="161"/>
  <c r="K26" i="161"/>
  <c r="K30" i="161"/>
  <c r="I31" i="161"/>
  <c r="I32" i="161"/>
  <c r="I34" i="161"/>
  <c r="L34" i="161" s="1"/>
  <c r="O28" i="128"/>
  <c r="O50" i="128"/>
  <c r="O58" i="128"/>
  <c r="O35" i="128"/>
  <c r="O25" i="128"/>
  <c r="O36" i="128"/>
  <c r="O43" i="128"/>
  <c r="O29" i="128"/>
  <c r="O24" i="128"/>
  <c r="O61" i="128"/>
  <c r="O33" i="128"/>
  <c r="O60" i="128"/>
  <c r="O54" i="128"/>
  <c r="O42" i="128"/>
  <c r="O41" i="128"/>
  <c r="O34" i="128"/>
  <c r="O37" i="128"/>
  <c r="O30" i="128"/>
  <c r="O59" i="128"/>
  <c r="O23" i="128"/>
  <c r="O57" i="128"/>
  <c r="O22" i="128"/>
  <c r="O51" i="128"/>
  <c r="O27" i="128"/>
  <c r="O40" i="128"/>
  <c r="O55" i="128"/>
  <c r="J64" i="128"/>
  <c r="K35" i="161" l="1"/>
  <c r="J35" i="161"/>
  <c r="P61" i="128"/>
  <c r="L31" i="161"/>
  <c r="P42" i="128"/>
  <c r="P55" i="128"/>
  <c r="P27" i="128"/>
  <c r="P41" i="128"/>
  <c r="P51" i="128"/>
  <c r="P57" i="128"/>
  <c r="P24" i="128"/>
  <c r="P29" i="128"/>
  <c r="P23" i="128"/>
  <c r="P59" i="128"/>
  <c r="P43" i="128"/>
  <c r="P36" i="128"/>
  <c r="L30" i="161"/>
  <c r="I35" i="161"/>
  <c r="P30" i="128"/>
  <c r="P37" i="128"/>
  <c r="P25" i="128"/>
  <c r="P22" i="128"/>
  <c r="O64" i="128"/>
  <c r="P34" i="128"/>
  <c r="P35" i="128"/>
  <c r="P58" i="128"/>
  <c r="P50" i="128"/>
  <c r="P40" i="128"/>
  <c r="P54" i="128"/>
  <c r="P28" i="128"/>
  <c r="P60" i="128"/>
  <c r="P33" i="128"/>
  <c r="L32" i="161"/>
  <c r="L35" i="161" l="1"/>
  <c r="E131" i="128"/>
  <c r="D139" i="128"/>
  <c r="C147" i="128"/>
  <c r="C132" i="128"/>
  <c r="E153" i="128"/>
  <c r="E135" i="128"/>
  <c r="C142" i="128"/>
  <c r="C155" i="128"/>
  <c r="E132" i="128"/>
  <c r="D158" i="128"/>
  <c r="B142" i="128"/>
  <c r="E142" i="128"/>
  <c r="B158" i="128"/>
  <c r="B141" i="128"/>
  <c r="B146" i="128"/>
  <c r="E154" i="128"/>
  <c r="E144" i="128"/>
  <c r="E141" i="128"/>
  <c r="B155" i="128"/>
  <c r="E152" i="128"/>
  <c r="D147" i="128"/>
  <c r="B140" i="128"/>
  <c r="B157" i="128"/>
  <c r="C143" i="128"/>
  <c r="D132" i="128"/>
  <c r="E136" i="128"/>
  <c r="D150" i="128"/>
  <c r="C146" i="128"/>
  <c r="D151" i="128"/>
  <c r="E133" i="128"/>
  <c r="C141" i="128"/>
  <c r="C156" i="128"/>
  <c r="D154" i="128"/>
  <c r="B139" i="128"/>
  <c r="C139" i="128"/>
  <c r="C137" i="128"/>
  <c r="E147" i="128"/>
  <c r="E137" i="128"/>
  <c r="E156" i="128"/>
  <c r="E143" i="128"/>
  <c r="D157" i="128"/>
  <c r="E150" i="128"/>
  <c r="C150" i="128"/>
  <c r="B143" i="128"/>
  <c r="B156" i="128"/>
  <c r="B144" i="128"/>
  <c r="C154" i="128"/>
  <c r="D153" i="128"/>
  <c r="E151" i="128"/>
  <c r="C138" i="128"/>
  <c r="C158" i="128"/>
  <c r="B150" i="128"/>
  <c r="C148" i="128"/>
  <c r="C145" i="128"/>
  <c r="B152" i="128"/>
  <c r="D156" i="128"/>
  <c r="C152" i="128"/>
  <c r="B149" i="128"/>
  <c r="E140" i="128"/>
  <c r="D137" i="128"/>
  <c r="E139" i="128"/>
  <c r="C131" i="128"/>
  <c r="D143" i="128"/>
  <c r="B137" i="128"/>
  <c r="C134" i="128"/>
  <c r="D134" i="128"/>
  <c r="B132" i="128"/>
  <c r="E158" i="128"/>
  <c r="B147" i="128"/>
  <c r="D152" i="128"/>
  <c r="D135" i="128"/>
  <c r="B131" i="128"/>
  <c r="D140" i="128"/>
  <c r="B151" i="128"/>
  <c r="D148" i="128"/>
  <c r="D142" i="128"/>
  <c r="E145" i="128"/>
  <c r="D133" i="128"/>
  <c r="E134" i="128"/>
  <c r="E138" i="128"/>
  <c r="C133" i="128"/>
  <c r="D136" i="128"/>
  <c r="E157" i="128"/>
  <c r="D138" i="128"/>
  <c r="D146" i="128"/>
  <c r="B148" i="128"/>
  <c r="C157" i="128"/>
  <c r="C136" i="128"/>
  <c r="E155" i="128"/>
  <c r="B153" i="128"/>
  <c r="D145" i="128"/>
  <c r="B154" i="128"/>
  <c r="D131" i="128"/>
  <c r="B135" i="128"/>
  <c r="C140" i="128"/>
  <c r="C149" i="128"/>
  <c r="E149" i="128"/>
  <c r="D155" i="128"/>
  <c r="E148" i="128"/>
  <c r="B133" i="128"/>
  <c r="B134" i="128"/>
  <c r="C153" i="128"/>
  <c r="D144" i="128"/>
  <c r="D149" i="128"/>
  <c r="C144" i="128"/>
  <c r="B138" i="128"/>
  <c r="C151" i="128"/>
  <c r="B145" i="128"/>
  <c r="D141" i="128"/>
  <c r="B136" i="128"/>
  <c r="C135" i="128"/>
  <c r="E146" i="128"/>
  <c r="G130" i="1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F49" authorId="0" shapeId="0" xr:uid="{00000000-0006-0000-0400-000001000000}">
      <text>
        <r>
          <rPr>
            <b/>
            <sz val="9"/>
            <color indexed="81"/>
            <rFont val="Tahoma"/>
            <family val="2"/>
          </rPr>
          <t>เรือประมง</t>
        </r>
      </text>
    </comment>
    <comment ref="M56" authorId="0" shapeId="0" xr:uid="{00000000-0006-0000-0400-000002000000}">
      <text>
        <r>
          <rPr>
            <b/>
            <sz val="9"/>
            <color indexed="81"/>
            <rFont val="Tahoma"/>
            <family val="2"/>
          </rPr>
          <t>อัตราไฟที่สามารถงดจ่ายไฟได้
สถานีอัดประจุไฟฟ้า
ไฟสาธารณะ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G9" authorId="0" shapeId="0" xr:uid="{00000000-0006-0000-0500-000001000000}">
      <text>
        <r>
          <rPr>
            <b/>
            <sz val="9"/>
            <color indexed="81"/>
            <rFont val="Tahoma"/>
            <family val="2"/>
          </rPr>
          <t>มีจุดเริ่มต้น-สิ้นสุด ในจังหวัด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C10" authorId="0" shapeId="0" xr:uid="{00000000-0006-0000-0D00-000001000000}">
      <text>
        <r>
          <rPr>
            <b/>
            <sz val="9"/>
            <color indexed="81"/>
            <rFont val="Tahoma"/>
            <family val="2"/>
          </rPr>
          <t>น้ำเพื่อการอุปโภคบริโภคของบ่อราชการและบ่อเอกชน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G31" authorId="0" shapeId="0" xr:uid="{00000000-0006-0000-1000-000001000000}">
      <text>
        <r>
          <rPr>
            <b/>
            <sz val="9"/>
            <color indexed="81"/>
            <rFont val="Tahoma"/>
            <family val="2"/>
          </rPr>
          <t>Pasture/Range/Paddock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prae sirinet</author>
    <author>natthasiree</author>
  </authors>
  <commentList>
    <comment ref="H15" authorId="0" shapeId="0" xr:uid="{00000000-0006-0000-1100-000001000000}">
      <text>
        <r>
          <rPr>
            <sz val="9"/>
            <color indexed="81"/>
            <rFont val="Tahoma"/>
            <family val="2"/>
          </rPr>
          <t xml:space="preserve">พื้นที่ป่าเพิ่ม (ค่าปกติ) คิด Forest remaining = พื้นที่ (เฮกตาร์) ปีก่อนหน้า
พื้นที่ป่าลด (ค่าติดลบ) คิด Forest remaining = พื้นที่ (เฮกตาร์) ปีฐาน
</t>
        </r>
      </text>
    </comment>
    <comment ref="E38" authorId="0" shapeId="0" xr:uid="{00000000-0006-0000-1100-000003000000}">
      <text>
        <r>
          <rPr>
            <sz val="9"/>
            <color indexed="81"/>
            <rFont val="Tahoma"/>
            <family val="2"/>
          </rPr>
          <t xml:space="preserve">
พื้นที่ป่าเพิ่ม (ค่าปกติ) คิด Forest remaining = พื้นที่ (เฮกตาร์) ปีก่อนหน้า =F11
พื้นที่ป่าลด (ค่าติดลบ) คิด Forest remaining = พื้นที่ (เฮกตาร์) ปีฐาน =G11</t>
        </r>
      </text>
    </comment>
    <comment ref="E39" authorId="0" shapeId="0" xr:uid="{00000000-0006-0000-1100-000004000000}">
      <text>
        <r>
          <rPr>
            <sz val="9"/>
            <color indexed="81"/>
            <rFont val="Tahoma"/>
            <family val="2"/>
          </rPr>
          <t xml:space="preserve">
พื้นที่ป่าเพิ่ม (ค่าปกติ) คิด Forest remaining = พื้นที่ (เฮกตาร์) ปีก่อนหน้า =F10-F11
พื้นที่ป่าลด (ค่าติดลบ) คิด Forest remaining = พื้นที่ (เฮกตาร์) ปีฐาน =G10-G11</t>
        </r>
      </text>
    </comment>
    <comment ref="E52" authorId="0" shapeId="0" xr:uid="{00000000-0006-0000-1100-000005000000}">
      <text>
        <r>
          <rPr>
            <sz val="9"/>
            <color indexed="81"/>
            <rFont val="Tahoma"/>
            <family val="2"/>
          </rPr>
          <t xml:space="preserve">
พื้นที่ป่าเพิ่ม (ค่าปกติ) คิด Forest remaining = พื้นที่ (เฮกตาร์) ปีก่อนหน้า =E13
พื้นที่ป่าลด (ค่าติดลบ) คิด Forest remaining = พื้นที่ (เฮกตาร์) ปีฐาน =F13</t>
        </r>
      </text>
    </comment>
    <comment ref="C53" authorId="1" shapeId="0" xr:uid="{00000000-0006-0000-1100-000006000000}">
      <text>
        <r>
          <rPr>
            <sz val="9"/>
            <color indexed="81"/>
            <rFont val="Tahoma"/>
            <family val="2"/>
          </rPr>
          <t xml:space="preserve">
ป่า Tropical Moist Deci
</t>
        </r>
      </text>
    </comment>
    <comment ref="E121" authorId="0" shapeId="0" xr:uid="{00000000-0006-0000-1100-000008000000}">
      <text>
        <r>
          <rPr>
            <sz val="9"/>
            <color indexed="81"/>
            <rFont val="Tahoma"/>
            <family val="2"/>
          </rPr>
          <t xml:space="preserve"> 
=F14+F17  (ต้องใช้ค่าปีฐาน)</t>
        </r>
      </text>
    </comment>
    <comment ref="J244" authorId="0" shapeId="0" xr:uid="{CA7E303E-22E1-47F9-BB93-69B3EA81086F}">
      <text>
        <r>
          <rPr>
            <sz val="9"/>
            <color indexed="81"/>
            <rFont val="Tahoma"/>
            <family val="2"/>
          </rPr>
          <t xml:space="preserve">
สมการ ยังขาด L</t>
        </r>
        <r>
          <rPr>
            <vertAlign val="subscript"/>
            <sz val="9"/>
            <color indexed="81"/>
            <rFont val="Tahoma"/>
            <family val="2"/>
          </rPr>
          <t xml:space="preserve">disturbancess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D47" authorId="0" shapeId="0" xr:uid="{00000000-0006-0000-1200-000002000000}">
      <text>
        <r>
          <rPr>
            <b/>
            <sz val="9"/>
            <color indexed="81"/>
            <rFont val="Tahoma"/>
            <family val="2"/>
          </rPr>
          <t>ปีเก่า</t>
        </r>
      </text>
    </comment>
    <comment ref="E47" authorId="0" shapeId="0" xr:uid="{00000000-0006-0000-1200-000003000000}">
      <text>
        <r>
          <rPr>
            <b/>
            <sz val="9"/>
            <color indexed="81"/>
            <rFont val="Tahoma"/>
            <family val="2"/>
          </rPr>
          <t>ปีใหม่</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prae sirinet</author>
  </authors>
  <commentList>
    <comment ref="B10" authorId="0" shapeId="0" xr:uid="{00000000-0006-0000-1500-000001000000}">
      <text>
        <r>
          <rPr>
            <sz val="9"/>
            <color indexed="81"/>
            <rFont val="Tahoma"/>
            <family val="2"/>
          </rPr>
          <t xml:space="preserve">
Notation Keys เพิ่ม Drop-down list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prae sirinet</author>
  </authors>
  <commentList>
    <comment ref="C10" authorId="0" shapeId="0" xr:uid="{1DDE9BA4-53F4-43E8-ADEE-779C3648CB41}">
      <text>
        <r>
          <rPr>
            <sz val="9"/>
            <color indexed="81"/>
            <rFont val="Tahoma"/>
            <family val="2"/>
          </rPr>
          <t xml:space="preserve">
ปริมาณการใช้ปุ๋ยยูเรีย ชนิดที่ 𝒊 (ตันยูเรียต่อปี)</t>
        </r>
      </text>
    </comment>
    <comment ref="D10" authorId="0" shapeId="0" xr:uid="{81B56A03-B222-46F7-8223-381AE9BBA361}">
      <text>
        <r>
          <rPr>
            <sz val="9"/>
            <color indexed="81"/>
            <rFont val="Tahoma"/>
            <family val="2"/>
          </rPr>
          <t xml:space="preserve">
ค่าสัมประสิทธิ์การปล่อยก๊าซเรือนกระจก (กาหนดให้เท่ากับ 0.2)</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prangvalai</author>
  </authors>
  <commentList>
    <comment ref="B6" authorId="0" shapeId="0" xr:uid="{00000000-0006-0000-1B00-000001000000}">
      <text>
        <r>
          <rPr>
            <sz val="9"/>
            <color indexed="81"/>
            <rFont val="Tahoma"/>
            <family val="2"/>
          </rPr>
          <t xml:space="preserve">
Updated from 61 as 03052018</t>
        </r>
      </text>
    </comment>
    <comment ref="E14" authorId="0" shapeId="0" xr:uid="{00000000-0006-0000-1B00-000002000000}">
      <text>
        <r>
          <rPr>
            <sz val="9"/>
            <color indexed="81"/>
            <rFont val="Tahoma"/>
            <family val="2"/>
          </rPr>
          <t xml:space="preserve">
this value for developed countries</t>
        </r>
      </text>
    </comment>
    <comment ref="D15" authorId="0" shapeId="0" xr:uid="{00000000-0006-0000-1B00-000003000000}">
      <text>
        <r>
          <rPr>
            <sz val="9"/>
            <color indexed="81"/>
            <rFont val="Tahoma"/>
            <family val="2"/>
          </rPr>
          <t xml:space="preserve">
not n/a</t>
        </r>
      </text>
    </comment>
  </commentList>
</comments>
</file>

<file path=xl/sharedStrings.xml><?xml version="1.0" encoding="utf-8"?>
<sst xmlns="http://schemas.openxmlformats.org/spreadsheetml/2006/main" count="9589" uniqueCount="2581">
  <si>
    <t>REFERENCE TABLES</t>
  </si>
  <si>
    <t xml:space="preserve">A. GPC OVERVIEW </t>
  </si>
  <si>
    <t>Sectors and sub-sectors</t>
  </si>
  <si>
    <t>Scope 1</t>
  </si>
  <si>
    <t>Scope 2</t>
  </si>
  <si>
    <t>Scope 3</t>
  </si>
  <si>
    <t>STATIONARY ENERGY</t>
  </si>
  <si>
    <t>Residential buildings</t>
  </si>
  <si>
    <t>√</t>
  </si>
  <si>
    <t>Commercial buildings</t>
  </si>
  <si>
    <t>Institutional buildings</t>
  </si>
  <si>
    <t>Manufacturing industries and construction</t>
  </si>
  <si>
    <t>Energy industries</t>
  </si>
  <si>
    <t>Energy generation supplied to the grid</t>
  </si>
  <si>
    <t xml:space="preserve">Agriculture, forestry, and fishing activities </t>
  </si>
  <si>
    <t>Non-specified sources</t>
  </si>
  <si>
    <t>Fugitive emissions from mining, processing, storage, and transportation of coal</t>
  </si>
  <si>
    <t>Fugitive emissions from oil and natural gas systems</t>
  </si>
  <si>
    <t>TRANSPORTATION</t>
  </si>
  <si>
    <t>On-road</t>
  </si>
  <si>
    <t>Railways</t>
  </si>
  <si>
    <t>Waterborne navigation</t>
  </si>
  <si>
    <t>Aviation</t>
  </si>
  <si>
    <t>Off-road</t>
  </si>
  <si>
    <t>WASTE</t>
  </si>
  <si>
    <t>Solid waste generated in the city</t>
  </si>
  <si>
    <t>Solid waste generated outside the city</t>
  </si>
  <si>
    <t>Biological waste generated in the city</t>
  </si>
  <si>
    <t>Biological waste generated outside the city</t>
  </si>
  <si>
    <t>Incinerated and burned waste generated in the city</t>
  </si>
  <si>
    <t xml:space="preserve">Incinerated and burned waste generated outside city  </t>
  </si>
  <si>
    <t xml:space="preserve">Wastewater generated in the city </t>
  </si>
  <si>
    <t>Wastewater generated outside the city</t>
  </si>
  <si>
    <t>INDUSTRIAL PROCESSES AND PRODUCT USE (IPPU)</t>
  </si>
  <si>
    <t>Industrial processes</t>
  </si>
  <si>
    <t>Product use</t>
  </si>
  <si>
    <t>AGRICULTURE, FORESTRY, AND LAND USE (AFOLU)</t>
  </si>
  <si>
    <t>Livestock</t>
  </si>
  <si>
    <t>Land</t>
  </si>
  <si>
    <t>Other agriculture</t>
  </si>
  <si>
    <t>OTHER SCOPE 3</t>
  </si>
  <si>
    <t>B. NOTATION KEYS</t>
  </si>
  <si>
    <t>Notation key</t>
  </si>
  <si>
    <t>Description and examples</t>
  </si>
  <si>
    <t>Not occurring</t>
  </si>
  <si>
    <t>NO</t>
  </si>
  <si>
    <t>An activity or process does not occur or exist within the city.</t>
  </si>
  <si>
    <t>Example</t>
  </si>
  <si>
    <t>I.7.1 does not occur. No coal-related activities within the city boundary.</t>
  </si>
  <si>
    <t>II.2.2 does not occur. Number of electric vehicles is negligible compared to total vehicle fleet (0.01% of vehicle sales in 2014 were electric).</t>
  </si>
  <si>
    <t>Included elsewhere</t>
  </si>
  <si>
    <t>IE</t>
  </si>
  <si>
    <t>GHG emissions for this activity are estimated and presented in another category of the inventory. That category shall be noted in the explanation.</t>
  </si>
  <si>
    <t>II.5.1 is reported in II.1.1. Fuel sales approach does not allow for disaggregation.</t>
  </si>
  <si>
    <t>III.1.2 is reported in I Stationary. Landfill gas is captured and burned as an energy source.</t>
  </si>
  <si>
    <t>Not estimated</t>
  </si>
  <si>
    <t>NE</t>
  </si>
  <si>
    <t>Emissions occur but have not been estimated or reported; justification for exclusion shall be noted in the explanation</t>
  </si>
  <si>
    <t>III.4.3 has not been estimated. Activity not required for BASIC inventory.</t>
  </si>
  <si>
    <t>V.1 has not been estimated. No livetstock data available.</t>
  </si>
  <si>
    <t>Confidential</t>
  </si>
  <si>
    <t>C</t>
  </si>
  <si>
    <t>GHG emissions which could lead to the disclosure of confidential information and can therefore not be reported.</t>
  </si>
  <si>
    <t>Activity data for IV.1 is confidential. Data cannot be aggregated to provide confidentiality.</t>
  </si>
  <si>
    <t xml:space="preserve">II.5.1 is confidential. Military base within city boundary. </t>
  </si>
  <si>
    <t>C. GLOBAL WARMING POTENTIAL</t>
  </si>
  <si>
    <t xml:space="preserve">Greenhouse gas </t>
  </si>
  <si>
    <t>IPCC Assessment Report</t>
  </si>
  <si>
    <t>Formula</t>
  </si>
  <si>
    <t>Name</t>
  </si>
  <si>
    <t>5AR</t>
  </si>
  <si>
    <t>4AR</t>
  </si>
  <si>
    <t>3AR</t>
  </si>
  <si>
    <t>2AR</t>
  </si>
  <si>
    <t>CO2</t>
  </si>
  <si>
    <t>Carbon Dioxide</t>
  </si>
  <si>
    <t>CH4</t>
  </si>
  <si>
    <t>Methane</t>
  </si>
  <si>
    <t>N2O</t>
  </si>
  <si>
    <t>Nitrous Oxide</t>
  </si>
  <si>
    <t>SF6</t>
  </si>
  <si>
    <t>Sulphur hexafluoride</t>
  </si>
  <si>
    <t>CF4</t>
  </si>
  <si>
    <t>Carbon tetrafluoride</t>
  </si>
  <si>
    <t>C2F6</t>
  </si>
  <si>
    <t>Hexafluoroethane</t>
  </si>
  <si>
    <t>CHF3</t>
  </si>
  <si>
    <t>HFC-23</t>
  </si>
  <si>
    <t>CH2F2</t>
  </si>
  <si>
    <t>HFC-32</t>
  </si>
  <si>
    <t>CH3F</t>
  </si>
  <si>
    <t>HFC-41</t>
  </si>
  <si>
    <t>C2HF5</t>
  </si>
  <si>
    <t>HFC-125</t>
  </si>
  <si>
    <t>C2H2F4</t>
  </si>
  <si>
    <t>HFC-134</t>
  </si>
  <si>
    <t>CH2FCF3</t>
  </si>
  <si>
    <t>HFC-134a</t>
  </si>
  <si>
    <t>C2H3F3</t>
  </si>
  <si>
    <t>HFC-143</t>
  </si>
  <si>
    <t>C2H4F3</t>
  </si>
  <si>
    <t>HFC-143a</t>
  </si>
  <si>
    <t>C2H4F2</t>
  </si>
  <si>
    <t>HFC-152a</t>
  </si>
  <si>
    <t>C3HF7</t>
  </si>
  <si>
    <t>HFC-227ea</t>
  </si>
  <si>
    <t>C3H2F6</t>
  </si>
  <si>
    <t>HFC-236fa</t>
  </si>
  <si>
    <t>C3H3F5</t>
  </si>
  <si>
    <t>HFC-245ca</t>
  </si>
  <si>
    <t>NF3</t>
  </si>
  <si>
    <t>Nitrogen trifluoride</t>
  </si>
  <si>
    <t>Full references to the IPCC Assessment Reports are provided in the GPC</t>
  </si>
  <si>
    <t>ข้อมูลพื้นฐานของจังหวัด</t>
  </si>
  <si>
    <t>ขอบเขต</t>
  </si>
  <si>
    <t>ข้อมูล</t>
  </si>
  <si>
    <t>แหล่งที่มา</t>
  </si>
  <si>
    <t>ปีที่ประเมิน (พ.ศ.)</t>
  </si>
  <si>
    <t>ประชากรตามทะเบียนราษฏร์ (คน)</t>
  </si>
  <si>
    <t>ประชากรรวม  (คน)</t>
  </si>
  <si>
    <t>จำนวนครัวเรือน (ครัวเรือน)</t>
  </si>
  <si>
    <t>จำนวนนักท่องเที่ยวและนักทัศนาจร  (คน)</t>
  </si>
  <si>
    <t>พื้นที่ (ตร.กม)</t>
  </si>
  <si>
    <t>GDP (ล้านบาท)</t>
  </si>
  <si>
    <t>ผู้รวบรวมข้อมูล</t>
  </si>
  <si>
    <t>รายละเอียด</t>
  </si>
  <si>
    <t>ชื่อ-นามสกุล</t>
  </si>
  <si>
    <t>หน่วยงาน</t>
  </si>
  <si>
    <t>วันที่</t>
  </si>
  <si>
    <t>กลุ่มการรายงานปริมาณการปล่อยก๊าซเรือนกระจก</t>
  </si>
  <si>
    <t>ภาคพลังงาน 
(Stationary Energy)</t>
  </si>
  <si>
    <t xml:space="preserve">ภาคการขนส่ง
 (Transportation)  </t>
  </si>
  <si>
    <t xml:space="preserve">ภาคการจัดการของเสีย 
(Waste) </t>
  </si>
  <si>
    <t xml:space="preserve">ภาคกระบวนการอุตสาหกรรมและการใช้ผลิตภัณฑ์ 
(Industrial Process and Product Use: IPPU) </t>
  </si>
  <si>
    <t>ภาคเกษตร ป่าไม้ และการใช้ประโยชน์ที่ดิน 
(Agriculture, Forestry and Other Land Use: AFOLU)</t>
  </si>
  <si>
    <t>.....</t>
  </si>
  <si>
    <t>ตารางผลรวมปริมาณการปล่อยก๊าซเรือนกระจก</t>
  </si>
  <si>
    <t>ชื่อเมือง</t>
  </si>
  <si>
    <t>ประชากรตามทะเบียนราษฏร์</t>
  </si>
  <si>
    <t>คน</t>
  </si>
  <si>
    <t>ปี</t>
  </si>
  <si>
    <t>ประชากรทั้งหมด</t>
  </si>
  <si>
    <t>GPP</t>
  </si>
  <si>
    <t>ล้านบาท</t>
  </si>
  <si>
    <t>พื้นที่</t>
  </si>
  <si>
    <t>ตารางกิโลเมตร</t>
  </si>
  <si>
    <t>กลุ่มของกิจกรรม</t>
  </si>
  <si>
    <t xml:space="preserve">ขอบเขตที่ 1 </t>
  </si>
  <si>
    <t>ขอบเขตที่ 2</t>
  </si>
  <si>
    <t>ขอบเขตที่ 3</t>
  </si>
  <si>
    <t>BASIC</t>
  </si>
  <si>
    <t>BASIC+</t>
  </si>
  <si>
    <t>I</t>
  </si>
  <si>
    <t>ภาคพลังงาน (Stationary Energy)</t>
  </si>
  <si>
    <t>การเผาไหม้เชื้อเพลิงทั้งหมด</t>
  </si>
  <si>
    <t xml:space="preserve">การผลิตไฟฟ้าเข้าสายส่ง (Fossil fuel) </t>
  </si>
  <si>
    <t>II</t>
  </si>
  <si>
    <t xml:space="preserve">ภาคการขนส่ง (Transportation)  </t>
  </si>
  <si>
    <t>ทั้งหมดของกลุ่ม</t>
  </si>
  <si>
    <t>III</t>
  </si>
  <si>
    <t xml:space="preserve">ภาคการจัดการของเสีย (Waste) </t>
  </si>
  <si>
    <t>ของเสียที่เกิดขึ้นในเมือง</t>
  </si>
  <si>
    <t>ของเสียที่ขึ้นในเมืองอื่นๆ</t>
  </si>
  <si>
    <t>IV</t>
  </si>
  <si>
    <t xml:space="preserve">ภาคกระบวนการอุตสาหกรรมและการใช้ผลิตภัณฑ์ (IPPU) </t>
  </si>
  <si>
    <t>V</t>
  </si>
  <si>
    <t>ภาคเกษตร ป่าไม้ และการใช้ประโยชน์ที่ดิน (AFOLU)</t>
  </si>
  <si>
    <t>รวม</t>
  </si>
  <si>
    <t>แหล่งปล่อยก๊าซเรือนกระจก (แยกตามกลุ่มกิจกรรมและแหล่งกำเนิด)</t>
  </si>
  <si>
    <t>สัดส่วนการปล่อยก๊าซเรือนกระจก (%)</t>
  </si>
  <si>
    <t>Rank</t>
  </si>
  <si>
    <t>ผลรวม</t>
  </si>
  <si>
    <t>สัดส่วนต่อกลุ่มกิจกรรม</t>
  </si>
  <si>
    <t>สัดส่วนต่อทั้งหมด</t>
  </si>
  <si>
    <t>I. ภาคพลังงาน (Stationary Energy)</t>
  </si>
  <si>
    <t>I.1</t>
  </si>
  <si>
    <t>พลังงานในที่พักอาศัย</t>
  </si>
  <si>
    <t>I.2</t>
  </si>
  <si>
    <t>พลังงานในธุรกิจการค้าและหน่วยงานรัฐ</t>
  </si>
  <si>
    <t>I.3</t>
  </si>
  <si>
    <t>I.4.1/2/3</t>
  </si>
  <si>
    <t>พลังงานในการผลิตพลังงาน</t>
  </si>
  <si>
    <t>I.4.4</t>
  </si>
  <si>
    <t>พลังงานในการผลิตผลิตไฟฟ้า</t>
  </si>
  <si>
    <t>I.5</t>
  </si>
  <si>
    <t>พลังงานในการเกษตร ป่าไม้ และประมง</t>
  </si>
  <si>
    <t>I.6</t>
  </si>
  <si>
    <t>พลังงานในแหล่งที่ไม่สามารถระบุได้</t>
  </si>
  <si>
    <t>I.7</t>
  </si>
  <si>
    <t>การรั่วไหลของก๊าซเรือนกระจกจากกระบวนการทำเหมือง จัดเก็บ และขนส่งถ่านหิน</t>
  </si>
  <si>
    <t>I.8</t>
  </si>
  <si>
    <t xml:space="preserve">การรั่วไหลของก๊าซเรือนกระจกจากระบบน้ำมันและก๊าซธรรมชาติ </t>
  </si>
  <si>
    <t>II. ภาคการขนส่ง (Transportation)</t>
  </si>
  <si>
    <t>II.1</t>
  </si>
  <si>
    <t>การขนส่งทางถนน</t>
  </si>
  <si>
    <t>II.2</t>
  </si>
  <si>
    <t>การขนส่งทางระบบราง</t>
  </si>
  <si>
    <t>II.3</t>
  </si>
  <si>
    <t>การขนส่งทางน้ำ</t>
  </si>
  <si>
    <t>II.4</t>
  </si>
  <si>
    <t>การขนส่งทางอากาศ</t>
  </si>
  <si>
    <t>II.5</t>
  </si>
  <si>
    <t>การขนส่งทางบกที่ไม่ใช่ถนน</t>
  </si>
  <si>
    <t>III. ภาคการจัดการของเสีย (Waste)</t>
  </si>
  <si>
    <t>III.1.1/2</t>
  </si>
  <si>
    <t>การจัดการของเสียที่เกิดในพื้นที่ ด้วยวิธีฝังกลบในพื้นที่</t>
  </si>
  <si>
    <t>III.2.1/2</t>
  </si>
  <si>
    <t>การจัดการของเสียที่เกิดในพื้นที่ ด้วยวิธีการทางชีวภาพในพื้นที่</t>
  </si>
  <si>
    <t>III.3.1/2</t>
  </si>
  <si>
    <t>การจัดการของเสียที่เกิดในพื้นที่ ด้วยวิธีการเผาไหม้ในพื้นที่</t>
  </si>
  <si>
    <t>III.4.1/2</t>
  </si>
  <si>
    <t>การจัดการน้ำเสียที่เกิดในพื้นที่ ด้วยการบำบัดในพื้นที่</t>
  </si>
  <si>
    <t>III.1.3</t>
  </si>
  <si>
    <t>การจัดการของเสียที่เกิดนอกพื้นที่ ด้วยวิธีฝังกลบในพื้นที่</t>
  </si>
  <si>
    <t>III.2.3</t>
  </si>
  <si>
    <t>การจัดการของเสียที่เกิดนอกพื้นที่ ด้วยวิธีทางชีวภาพในพื้นที่</t>
  </si>
  <si>
    <t>III.3.3</t>
  </si>
  <si>
    <t>การจัดการของเสียที่เกิดนอกพื้นที่ ด้วยวิธีการเผาไหม้ในพื้นที่</t>
  </si>
  <si>
    <t>III.4.3</t>
  </si>
  <si>
    <t>การจัดการน้ำเสียที่เกิดนอกพื้นที่ ด้วยการบำบัดในพื้นที่</t>
  </si>
  <si>
    <t>IV.ภาคกระบวนการอุตสาหกรรมและการใช้ผลิตภัณฑ์ (IPPU)</t>
  </si>
  <si>
    <t>IV.1</t>
  </si>
  <si>
    <t>กระบวนการอุตสาหกรรม</t>
  </si>
  <si>
    <t>IV.2</t>
  </si>
  <si>
    <t>การใช้ผลิตภัณฑ์</t>
  </si>
  <si>
    <t>V.ภาคการเกษตร ป่าไม้ และการใช้ประโยชน์ที่ดิน (AFOLU)</t>
  </si>
  <si>
    <t>V.1</t>
  </si>
  <si>
    <t>การจัดการปศุสัตว์</t>
  </si>
  <si>
    <t>V.2</t>
  </si>
  <si>
    <t>การใช้ประโยชน์ที่ดินและการเปลี่ยนแปลงการใช้ประโยชน์ที่ดิน</t>
  </si>
  <si>
    <t>V.3</t>
  </si>
  <si>
    <t>วัสดุทางการเกษตรและแหล่งการปล่อยที่ไม่ใช่ CO2</t>
  </si>
  <si>
    <t>การเผาไหม้ชีวมวล</t>
  </si>
  <si>
    <t>การปลูกข้าว</t>
  </si>
  <si>
    <t>VI. Other Scope 3</t>
  </si>
  <si>
    <t>รวมทั้งหมด</t>
  </si>
  <si>
    <t>แหล่งปล่อยก๊าซเรือนกระจก</t>
  </si>
  <si>
    <t>ปริมาณ (t CO2e)</t>
  </si>
  <si>
    <t xml:space="preserve">ความเข้มการปล่อยก๊าซเรือนกระจก (GHG Intensity) </t>
  </si>
  <si>
    <t>ต่อประชากรตามทะเบียนราษฏร์ (Per capita)</t>
  </si>
  <si>
    <t>ต่อประชากรทั้งหมด (Per capita)</t>
  </si>
  <si>
    <t>ต่อพื้นที่จังหวัด (Pre unit land area)</t>
  </si>
  <si>
    <t>ต่อผลิตภัณฑ์มวลรวมจังหวัด (Per unit GPP)</t>
  </si>
  <si>
    <t>SCOPE 1</t>
  </si>
  <si>
    <t>SCOPE 2</t>
  </si>
  <si>
    <t>SCOPE 3</t>
  </si>
  <si>
    <t>Tatal</t>
  </si>
  <si>
    <t>ภาคการขนส่ง (Transportation)</t>
  </si>
  <si>
    <t>ภาคการจัดการของเสีย (Waste)</t>
  </si>
  <si>
    <t>ภาคกระบวนการอุตสาหกรรมและการใช้ผลิตภัณฑ์ (IPPU)</t>
  </si>
  <si>
    <t>Total</t>
  </si>
  <si>
    <t>สัดส่วน (%)</t>
  </si>
  <si>
    <t>VI</t>
  </si>
  <si>
    <t>ข้อมูลกิจกรรมของ Stationary Energy</t>
  </si>
  <si>
    <t>จังหวัด</t>
  </si>
  <si>
    <t>การใช้เชื้อเพลิง (Fuel Consumption)</t>
  </si>
  <si>
    <t>ชนิดเชื้อเพลิง</t>
  </si>
  <si>
    <t>ปริมาณที่ผู้ค้าน้ำมันจำหน่ายให้ลูกค้าและผู้ใช้ในจังหวัด (กรมธุรกิจพลังงาน)</t>
  </si>
  <si>
    <t>Unit</t>
  </si>
  <si>
    <t>ปริมาณที่ผู้ค้าน้ำมันจำหน่ายให้ลูกค้าและผู้ใช้ในจังหวัด (ฐานช้อมูลด้ายพลังงานประเทศไทย)</t>
  </si>
  <si>
    <t>สถานีบริการ</t>
  </si>
  <si>
    <t>ร้านค้าน้ำมัน</t>
  </si>
  <si>
    <t xml:space="preserve">ขนส่ง </t>
  </si>
  <si>
    <t xml:space="preserve">อุตสาหกรรม </t>
  </si>
  <si>
    <t xml:space="preserve">ไฟฟ้า </t>
  </si>
  <si>
    <t>ราชการ</t>
  </si>
  <si>
    <t>อื่นๆ</t>
  </si>
  <si>
    <t>ม.10</t>
  </si>
  <si>
    <t>ร้านค้า/ครัวเรือน</t>
  </si>
  <si>
    <t>ปิโตรเคมี</t>
  </si>
  <si>
    <t>ครัวเรือน</t>
  </si>
  <si>
    <t>ธุรกิจการค้า</t>
  </si>
  <si>
    <t>เกษตรกรรม</t>
  </si>
  <si>
    <t>ผลิตพลังงาน on-grid</t>
  </si>
  <si>
    <t>น้ำมันดีเซลหมุนเร็วธรรมดา (ชนิดพิเศษ) ยูโร 5</t>
  </si>
  <si>
    <t>พันลิตร</t>
  </si>
  <si>
    <t>น้ำมันดีเซลหมุนเร็วธรรมดา (ชนิดพิเศษ)</t>
  </si>
  <si>
    <t>น้ำมันดีเซลเขตต่อเนื่อง(น้ำมันเขียว)</t>
  </si>
  <si>
    <t>น้ำมันดีเซลหมุนเร็วธรรมดา</t>
  </si>
  <si>
    <t>น้ำมันดีเซลพื้นฐาน (10 PPM)</t>
  </si>
  <si>
    <t>น้ำมันดีเซลพื้นฐาน (50 PPM)</t>
  </si>
  <si>
    <t>บิวเทน</t>
  </si>
  <si>
    <t>พันกิโลกรัม</t>
  </si>
  <si>
    <t>น้ำมันเตา ชนิดที่ 1</t>
  </si>
  <si>
    <t xml:space="preserve">น้ำมันเตา ชนิดที่ 2 </t>
  </si>
  <si>
    <t>น้ำมันเตา ชนิดที่ 2 (ซัลเฟอร์ &gt;2%)</t>
  </si>
  <si>
    <t>น้ำมันเตา ชนิดที่ 4 (ซัลเฟอร์ &gt;2%)</t>
  </si>
  <si>
    <t>น้ำมันเตา ชนิดที่ 5 (ซัลเฟอร์ &gt; 0.5%)</t>
  </si>
  <si>
    <t xml:space="preserve">น้ำมันเตา </t>
  </si>
  <si>
    <t>น้ำมันแก๊สโซฮอล์อี 20</t>
  </si>
  <si>
    <t>น้ำมันแก๊สโซฮอล์อี 85</t>
  </si>
  <si>
    <t>น้ำมันแก๊สโซฮอล์อี 10 ออกเทน 91</t>
  </si>
  <si>
    <t>น้ำมันแก๊สโซฮอล์อี 10 ออกเทน 95 (ชนิดพิเศษ)</t>
  </si>
  <si>
    <t xml:space="preserve">น้ำมันแก๊สโซฮอล์อี 10 ออกเทน 95 </t>
  </si>
  <si>
    <t>น้ำมันดีเซลกำมะถันสูง</t>
  </si>
  <si>
    <t>ก๊าซปิโตรเลียมเหลว (LPG)</t>
  </si>
  <si>
    <t>โปรเพน</t>
  </si>
  <si>
    <t>น้ำมันเบนซิน ออกเทน 91</t>
  </si>
  <si>
    <t>น้ำมันเบนซิน</t>
  </si>
  <si>
    <t>ปริมาณเชื้อเพลิงในจังหวัด</t>
  </si>
  <si>
    <t>Cheak</t>
  </si>
  <si>
    <t>ก๊าซ LPG</t>
  </si>
  <si>
    <t>น้ำมันดีเซล</t>
  </si>
  <si>
    <t>น้ำมันดีเซลพื้นฐาน</t>
  </si>
  <si>
    <t>น้ำมันแก๊สโซฮอล์ 91,95</t>
  </si>
  <si>
    <t>น้ำมันแก๊สโซฮอล์ E85</t>
  </si>
  <si>
    <t>น้ำมันแก๊สโซฮอล์ E20</t>
  </si>
  <si>
    <t>ก๊าซธรรมชาติ</t>
  </si>
  <si>
    <t>ถ่านหิน</t>
  </si>
  <si>
    <t>(kg)</t>
  </si>
  <si>
    <t>(Litre)</t>
  </si>
  <si>
    <t>I.Stationary Energy</t>
  </si>
  <si>
    <t xml:space="preserve">พลังงานในส่วนที่พักอาศัย </t>
  </si>
  <si>
    <t xml:space="preserve">พลังงานในส่วนธุรกิจการค้าและหน่วยงานราชการ </t>
  </si>
  <si>
    <t>พลังงานในอุตสาหกรรมการผลิต</t>
  </si>
  <si>
    <t>เชื้อเพลิงสำหรับผลิตพลังงาน</t>
  </si>
  <si>
    <t>เชื้อเพลิงสำหรับผลิตพลังงาน (on grid)</t>
  </si>
  <si>
    <t>พลังงานในภาคการเกษตร ป่าไม้ และประมง</t>
  </si>
  <si>
    <t xml:space="preserve">พลังงานในแหล่งที่ไม่สามารถระบุได้ </t>
  </si>
  <si>
    <t>II.Transportation</t>
  </si>
  <si>
    <t>การขนส่งทางราง</t>
  </si>
  <si>
    <t>การขนส่งที่ไม่ใช่ทางถนน (Off-road)</t>
  </si>
  <si>
    <t>การใช้ไฟฟ้า (Electricity Consumption)</t>
  </si>
  <si>
    <t xml:space="preserve">หน่วยการขายไฟฟ้า (kWh) </t>
  </si>
  <si>
    <t>ประเภทที่ 1 
(บ้านอยู่อาศัย: ใช้ไฟไม่เกิน 150 หน่วยต่อเดือน)</t>
  </si>
  <si>
    <t>ประเภทที่ 1 (บ้านอยู่อาศัย: ใช้ไฟเกิน 150 หน่วยต่อเดือน)</t>
  </si>
  <si>
    <t>ประเภทที่ 2
(กิจการขนาดเล็ก)</t>
  </si>
  <si>
    <t>ประเภทที่ 3
(กิจการขนาดกลาง)</t>
  </si>
  <si>
    <t>ประเภทที่ 4
(กิจการขนาดใหญ่)</t>
  </si>
  <si>
    <t>ประเภทที่ 5
(กิจการเฉพาะอย่าง)</t>
  </si>
  <si>
    <t>ประเภทที่ 6
(องค์กรที่ไม่แสวงหาผลกำไร)</t>
  </si>
  <si>
    <t>ประเภทที่ 7
(สูบน้ำเพื่อการเกษตร)</t>
  </si>
  <si>
    <t>ประเภทที่ 8
(ไฟฟ้าชั่วคราว)</t>
  </si>
  <si>
    <t>ไฟสำรอง 
(อื่นๆ)</t>
  </si>
  <si>
    <t>ไฟสาธารณะ
(อื่นๆ)</t>
  </si>
  <si>
    <t>    สถานีอัดประจุไฟฟ้า</t>
  </si>
  <si>
    <t xml:space="preserve">รวม (kWh) </t>
  </si>
  <si>
    <t xml:space="preserve">Electricity (kWh) </t>
  </si>
  <si>
    <t>Check</t>
  </si>
  <si>
    <t>การใช้ก๊าซธรรมชาติ (Natural gas Consumption)</t>
  </si>
  <si>
    <t>กฟผ. (IPP)</t>
  </si>
  <si>
    <t>กฟน./กฟภ. (SPP)</t>
  </si>
  <si>
    <t>อุตสาหกรรม</t>
  </si>
  <si>
    <t>ขนส่ง</t>
  </si>
  <si>
    <t>ผลิตไฟฟ้า (on-grid)</t>
  </si>
  <si>
    <t>ลูกบาศก์ฟุต</t>
  </si>
  <si>
    <t>กิโลกรัม</t>
  </si>
  <si>
    <t>กรณี SPP</t>
  </si>
  <si>
    <t>Natural gas (dry)</t>
  </si>
  <si>
    <t>MJ/scf</t>
  </si>
  <si>
    <t>พลังงานไฟฟ้า  </t>
  </si>
  <si>
    <t>MJ/kWh</t>
  </si>
  <si>
    <t>ปริมาณการผลิตไฟฟ้า</t>
  </si>
  <si>
    <t>kWh</t>
  </si>
  <si>
    <t>MJ</t>
  </si>
  <si>
    <t>NG (โดยประมาณ)</t>
  </si>
  <si>
    <t>scf</t>
  </si>
  <si>
    <t>plant factor+loss</t>
  </si>
  <si>
    <t>ถ่านหินนำเข้า </t>
  </si>
  <si>
    <t>MJ/kg</t>
  </si>
  <si>
    <t>กำลังการผลิตของ Coal</t>
  </si>
  <si>
    <t>ถ่านหิน (โดยประมาณ)</t>
  </si>
  <si>
    <t>kg</t>
  </si>
  <si>
    <t>การรั่วไหลของก๊าซธรรมชาติ</t>
  </si>
  <si>
    <t>โรงแยกก๊าซธรรมชาติ</t>
  </si>
  <si>
    <t>scf/year</t>
  </si>
  <si>
    <t>ท่อส่งก๊าซธรรมชาติ</t>
  </si>
  <si>
    <t>MMSCFD</t>
  </si>
  <si>
    <t>ความยาวท่อ</t>
  </si>
  <si>
    <t>กิโลเมตร</t>
  </si>
  <si>
    <t>การรั่วไหลของน้ำมัน</t>
  </si>
  <si>
    <t xml:space="preserve">กำลังการกลั่นน้ำมันดิบ </t>
  </si>
  <si>
    <t>บาร์เรลต่อวัน</t>
  </si>
  <si>
    <t>บาร์เรล/ปี</t>
  </si>
  <si>
    <t xml:space="preserve"> litre/barrel</t>
  </si>
  <si>
    <t>ข้อมูลกิจกรรมของ Transportation</t>
  </si>
  <si>
    <t>การขนส่งทางถนน (On-road Transportation)</t>
  </si>
  <si>
    <t>ปริมาณที่ผู้ค้าน้ำมันจำหน่ายให้ลูกค้าและผู้ใช้ในจังหวัด</t>
  </si>
  <si>
    <t>การขนส่งทั้งหมด</t>
  </si>
  <si>
    <t>การขนส่งสาธารณะ</t>
  </si>
  <si>
    <t>Litres</t>
  </si>
  <si>
    <t xml:space="preserve">Diesel </t>
  </si>
  <si>
    <t>Biodiesel B10</t>
  </si>
  <si>
    <t>Biodiesel B20</t>
  </si>
  <si>
    <t>Gasoline</t>
  </si>
  <si>
    <t>Gasohol 91, 95</t>
  </si>
  <si>
    <t>Gasohol E85</t>
  </si>
  <si>
    <t>Gasohol E20</t>
  </si>
  <si>
    <t>LPG</t>
  </si>
  <si>
    <t>NGV</t>
  </si>
  <si>
    <t>การขนส่งสาธารณะ (Public Transportation)</t>
  </si>
  <si>
    <t>ชื่อเส้นทาง</t>
  </si>
  <si>
    <t>เชื้อเพลิง</t>
  </si>
  <si>
    <t xml:space="preserve">จำนวนเที่ยวรวม
</t>
  </si>
  <si>
    <t xml:space="preserve">ระยะทาง (ไป-กลับ)
</t>
  </si>
  <si>
    <t>อัตราการสิ้นเปลืองเชื้อเพลิง</t>
  </si>
  <si>
    <t>ปริมาณเชื้อเพลิง (Litres)</t>
  </si>
  <si>
    <t>(เที่ยว)</t>
  </si>
  <si>
    <t>(km)</t>
  </si>
  <si>
    <t xml:space="preserve"> (km/L)</t>
  </si>
  <si>
    <t>ขาไป</t>
  </si>
  <si>
    <t>ขากลับ</t>
  </si>
  <si>
    <t>การขนทางราง (Railways)</t>
  </si>
  <si>
    <t>เส้นทาง</t>
  </si>
  <si>
    <t>ระยะทางรวม</t>
  </si>
  <si>
    <t>ระยะทาง (km)</t>
  </si>
  <si>
    <t>ปริมาณการใช้น้ำมัน (Litres)</t>
  </si>
  <si>
    <t>ในจังหวัด</t>
  </si>
  <si>
    <t>นอกจังหวัด</t>
  </si>
  <si>
    <t>ปริมาณน้ำมันรวม</t>
  </si>
  <si>
    <t>การขนทางน้ำ (เรือโดยสาร/ท่องเที่ยว)</t>
  </si>
  <si>
    <t xml:space="preserve">เส้นทางที่ </t>
  </si>
  <si>
    <t>ขนาด</t>
  </si>
  <si>
    <t>จำนวนเรือ (ลำ)</t>
  </si>
  <si>
    <t>จำนวนเที่ยว (เที่ยว)</t>
  </si>
  <si>
    <t>เวลาในการเดินทาง
(นาที)</t>
  </si>
  <si>
    <t>จำนวนคน (คน)</t>
  </si>
  <si>
    <t>อัตราการสิ้นเปลืองเชื้อเพลิง 
(ลิตร/ชั่วโมง)</t>
  </si>
  <si>
    <t>ปริมาณน้ำมัน
(Litres)</t>
  </si>
  <si>
    <t xml:space="preserve">น้ำมันเบนซิน (Gasoline) </t>
  </si>
  <si>
    <t>น้ำมันดีเซล (Diesel)</t>
  </si>
  <si>
    <t>การขนทางอากาศ</t>
  </si>
  <si>
    <t>Jet fuel (เที่ยวบินภายในประเทศ)</t>
  </si>
  <si>
    <t xml:space="preserve">Flight </t>
  </si>
  <si>
    <t>Jet fuel (ที่ยวบินระหว่างประเทศ)</t>
  </si>
  <si>
    <t>ปี พ.ศ.</t>
  </si>
  <si>
    <t>จำนวนประชากร (คน)</t>
  </si>
  <si>
    <t>ปริมาณขยะมูลฝอย (ton/year)</t>
  </si>
  <si>
    <t>ขยะมูลฝอยที่เกิดขึ้น</t>
  </si>
  <si>
    <t>ขยะมูลฝอยที่
ไม่มีการให้บริการ</t>
  </si>
  <si>
    <t>ขยะมูลฝอยที่นำกลับมาใช้ประโยชน์</t>
  </si>
  <si>
    <t>ขยะมูลฝอยที่กำจัดถูกต้อง (site)</t>
  </si>
  <si>
    <t>ขยะมูลฝอยที่กำจัด
ไม่ถูกต้อง (site)</t>
  </si>
  <si>
    <t>นำกลับมาใช้ประโยชน์</t>
  </si>
  <si>
    <t>ขยะมูลฝอยติดเชื้อ</t>
  </si>
  <si>
    <t>ขยะมูลฝอยติดเชื้อ
(ton/year)</t>
  </si>
  <si>
    <t>ขยะอันตราย</t>
  </si>
  <si>
    <t>ขยะอันตราย
(ton/year)</t>
  </si>
  <si>
    <t>GWP</t>
  </si>
  <si>
    <t>Sub-sector</t>
  </si>
  <si>
    <t>Fuel Type</t>
  </si>
  <si>
    <t>Fuel Consumption</t>
  </si>
  <si>
    <t>Emission Factor (kg/Unit)</t>
  </si>
  <si>
    <r>
      <t>CO</t>
    </r>
    <r>
      <rPr>
        <b/>
        <vertAlign val="subscript"/>
        <sz val="10"/>
        <rFont val="Cambria"/>
        <family val="1"/>
        <scheme val="major"/>
      </rPr>
      <t>2</t>
    </r>
  </si>
  <si>
    <r>
      <t>CH</t>
    </r>
    <r>
      <rPr>
        <b/>
        <vertAlign val="subscript"/>
        <sz val="10"/>
        <rFont val="Cambria"/>
        <family val="1"/>
        <scheme val="major"/>
      </rPr>
      <t>4</t>
    </r>
  </si>
  <si>
    <r>
      <t>N</t>
    </r>
    <r>
      <rPr>
        <b/>
        <vertAlign val="subscript"/>
        <sz val="10"/>
        <rFont val="Cambria"/>
        <family val="1"/>
        <scheme val="major"/>
      </rPr>
      <t>2</t>
    </r>
    <r>
      <rPr>
        <b/>
        <sz val="10"/>
        <rFont val="Cambria"/>
        <family val="1"/>
        <scheme val="major"/>
      </rPr>
      <t>O</t>
    </r>
  </si>
  <si>
    <t>GHGs</t>
  </si>
  <si>
    <t>ขอบเขตที่ 1 (Scope 1)</t>
  </si>
  <si>
    <t xml:space="preserve">I.1 </t>
  </si>
  <si>
    <t>พลังงานในที่พักอาศัย (Residential buildings)</t>
  </si>
  <si>
    <t>น้ำมันเตา (Fuel Oil)</t>
  </si>
  <si>
    <t>พลังงานในธุรกิจการค้าและหน่วยงานรัฐ (Commercial and institutional building and facilities)</t>
  </si>
  <si>
    <t>พลังงานในอุตสาหกรรมการผลิตและการก่อสร้าง (Manufacturing industries and construction)</t>
  </si>
  <si>
    <t>ก๊าซธรรมชาติ (NG)</t>
  </si>
  <si>
    <t>พลังงานในการผลิตพลังงาน (Energy industries)</t>
  </si>
  <si>
    <t>ขยะ (Waste)</t>
  </si>
  <si>
    <t>พลังงานในการผลิตไฟฟ้าเข้าสายส่ง (Energy generation
supplied to the grid)</t>
  </si>
  <si>
    <t>ถ่านหิน (Coal)</t>
  </si>
  <si>
    <t>พลังงานในการเกษตร ป่าไม้ และประมง (Agriculture, forestry and fishing activities)</t>
  </si>
  <si>
    <t>พลังงานในแหล่งที่ไม่สามารถระบุได้ (Non-Specified sources)</t>
  </si>
  <si>
    <t>การรั่วไหลของก๊าซเรือนกระจกจากระบบน้ำมันและก๊าซธรรมชาติ (Fugitive emissions from oil and natural gas systems)</t>
  </si>
  <si>
    <t>น้ำมัน (Drilling)</t>
  </si>
  <si>
    <r>
      <t>m</t>
    </r>
    <r>
      <rPr>
        <vertAlign val="superscript"/>
        <sz val="10"/>
        <rFont val="Cambria"/>
        <family val="1"/>
        <scheme val="major"/>
      </rPr>
      <t>3</t>
    </r>
  </si>
  <si>
    <t>น้ำมัน (Tanker Trucks and Rail Cars)</t>
  </si>
  <si>
    <t>น้ำมัน (Refining)</t>
  </si>
  <si>
    <t>ก๊าซธรรมชาติ (Drilling)</t>
  </si>
  <si>
    <t>ก๊าซธรรมชาติ (Gas Processing)</t>
  </si>
  <si>
    <t>ก๊าซธรรมชาติ (Distribution)</t>
  </si>
  <si>
    <t>ขอบเขตที่ 2 (Scope 2)</t>
  </si>
  <si>
    <t>ไฟฟ้า (Electricity)</t>
  </si>
  <si>
    <t>I.4</t>
  </si>
  <si>
    <t>ขอบเขตที่ 3 (Scope 3)</t>
  </si>
  <si>
    <t>Transmission and distribution losses from grid-supplied energy</t>
  </si>
  <si>
    <t>การขนส่ง (Transportation)</t>
  </si>
  <si>
    <t xml:space="preserve">II.1 </t>
  </si>
  <si>
    <t>การขนส่งทางถนน (On-road transportation)</t>
  </si>
  <si>
    <t>Diesel (พื้นฐาน)</t>
  </si>
  <si>
    <t>Gasohol 91,95</t>
  </si>
  <si>
    <t>การขนส่งทางราง (Railway)</t>
  </si>
  <si>
    <t>Fuel Oil</t>
  </si>
  <si>
    <t>การขนส่งทางน้ำ (Water-borne transportation)</t>
  </si>
  <si>
    <t>การขนส่งทางอากาศ (Aviation)</t>
  </si>
  <si>
    <t xml:space="preserve">Jet fuel </t>
  </si>
  <si>
    <t>การขนส่งทางบกที่ไม่ใช่ถนน (Off-road transportation)</t>
  </si>
  <si>
    <t>A) Energy Content of Fuel (Net Calorific Value)</t>
  </si>
  <si>
    <r>
      <rPr>
        <b/>
        <sz val="10"/>
        <color theme="1"/>
        <rFont val="Cambria"/>
        <family val="2"/>
        <scheme val="major"/>
      </rPr>
      <t>Source:</t>
    </r>
    <r>
      <rPr>
        <sz val="10"/>
        <color theme="1"/>
        <rFont val="Cambria"/>
        <family val="2"/>
        <scheme val="major"/>
      </rPr>
      <t xml:space="preserve"> Department of Alternative Energy Development and Efficientcy (DEDE), Ministry of Energy, Thailand</t>
    </r>
  </si>
  <si>
    <t>Type (Unit)</t>
  </si>
  <si>
    <t>kcal/unit</t>
  </si>
  <si>
    <r>
      <t>toe/10</t>
    </r>
    <r>
      <rPr>
        <b/>
        <vertAlign val="superscript"/>
        <sz val="10"/>
        <color theme="0"/>
        <rFont val="Cambria"/>
        <family val="2"/>
        <scheme val="major"/>
      </rPr>
      <t>6</t>
    </r>
    <r>
      <rPr>
        <b/>
        <sz val="10"/>
        <color theme="0"/>
        <rFont val="Cambria"/>
        <family val="2"/>
        <scheme val="major"/>
      </rPr>
      <t>unit</t>
    </r>
  </si>
  <si>
    <t>MJ/unit</t>
  </si>
  <si>
    <r>
      <t>10</t>
    </r>
    <r>
      <rPr>
        <b/>
        <vertAlign val="superscript"/>
        <sz val="10"/>
        <color theme="0"/>
        <rFont val="Cambria"/>
        <family val="2"/>
        <scheme val="major"/>
      </rPr>
      <t>3</t>
    </r>
    <r>
      <rPr>
        <b/>
        <sz val="10"/>
        <color theme="0"/>
        <rFont val="Cambria"/>
        <family val="2"/>
        <scheme val="major"/>
      </rPr>
      <t>Btu/unit</t>
    </r>
  </si>
  <si>
    <t>General</t>
  </si>
  <si>
    <t>Commercial energy</t>
  </si>
  <si>
    <t xml:space="preserve">1 kcal    </t>
  </si>
  <si>
    <t>Joules</t>
  </si>
  <si>
    <t>1. Crude oil (litre)</t>
  </si>
  <si>
    <t>Btu</t>
  </si>
  <si>
    <t>2. Condensate (litre)</t>
  </si>
  <si>
    <t xml:space="preserve">1 toe      </t>
  </si>
  <si>
    <t>Gcal</t>
  </si>
  <si>
    <t>3. Natural gas</t>
  </si>
  <si>
    <t>GJ</t>
  </si>
  <si>
    <t>3.1 Wet (scf.)</t>
  </si>
  <si>
    <t>3.2 Dry (scf.)</t>
  </si>
  <si>
    <t xml:space="preserve">1 Barrel   </t>
  </si>
  <si>
    <t>4. Petroleum products</t>
  </si>
  <si>
    <t xml:space="preserve">1 cu.m. of solid wood </t>
  </si>
  <si>
    <t>kg.</t>
  </si>
  <si>
    <t>4.1 LPG (litre)</t>
  </si>
  <si>
    <t xml:space="preserve">1 cu.m. of solid charcoal </t>
  </si>
  <si>
    <t>4.2 Gasoline (litre)</t>
  </si>
  <si>
    <t>5 kg. of fuel wood</t>
  </si>
  <si>
    <t>kg. of charcoal product</t>
  </si>
  <si>
    <t>4.3 Jet fuel (litre)</t>
  </si>
  <si>
    <t>1 litre of LPG</t>
  </si>
  <si>
    <t>4.4 Kerosene (litre)</t>
  </si>
  <si>
    <t xml:space="preserve">1 toe </t>
  </si>
  <si>
    <t>4.5 Diesel (litre)</t>
  </si>
  <si>
    <t>1 ktoe</t>
  </si>
  <si>
    <t>TG</t>
  </si>
  <si>
    <t>4.6 Fuel oil (litre)</t>
  </si>
  <si>
    <t>1 kg (1MJ)</t>
  </si>
  <si>
    <t>Gg (1TJ)</t>
  </si>
  <si>
    <t>4.7 Bitumen (litre)</t>
  </si>
  <si>
    <t>Conversion Factor from ktoe to physical unit</t>
  </si>
  <si>
    <t>4.8 Petroleum coke (kg.)</t>
  </si>
  <si>
    <t>Anthacite</t>
  </si>
  <si>
    <t>ktoe/1000 tonnes</t>
  </si>
  <si>
    <t>5. Electricity (kWh)</t>
  </si>
  <si>
    <t>Bituminous</t>
  </si>
  <si>
    <t>6. Hydroelectric (kWh)</t>
  </si>
  <si>
    <t>Coke</t>
  </si>
  <si>
    <t>7. Geothermal (kWh)</t>
  </si>
  <si>
    <t>Briquettes &amp; Other Coal</t>
  </si>
  <si>
    <t>8. Coal import (kg.)</t>
  </si>
  <si>
    <t>Lignite (Mae Moh)</t>
  </si>
  <si>
    <t>9. Coke (kg.)</t>
  </si>
  <si>
    <t>Lignite (Krabi)</t>
  </si>
  <si>
    <t>10. Anthracite (kg.)</t>
  </si>
  <si>
    <t>Lignite (Others)</t>
  </si>
  <si>
    <t>11. Ethane (kg.)</t>
  </si>
  <si>
    <t>Crude Oil</t>
  </si>
  <si>
    <t>ktoe/Ml.</t>
  </si>
  <si>
    <t>12. Propane (kg.)</t>
  </si>
  <si>
    <t>Condensate</t>
  </si>
  <si>
    <t>13. Lignite</t>
  </si>
  <si>
    <t>Natural Gas (Produced Gas)</t>
  </si>
  <si>
    <t>ktoe/MMscf.</t>
  </si>
  <si>
    <t>13.1 Li (kg.)</t>
  </si>
  <si>
    <t>Natural Gas (Sale Gas)</t>
  </si>
  <si>
    <t>13.2 Krabi (kg.)</t>
  </si>
  <si>
    <t>NGL</t>
  </si>
  <si>
    <t>13.3 Mae Moh (kg.)</t>
  </si>
  <si>
    <t>13.4 Chae Khong (kg.)</t>
  </si>
  <si>
    <t>Benzene/Gasoline</t>
  </si>
  <si>
    <t>**Briquettes &amp; Other Coal</t>
  </si>
  <si>
    <t>Jet Fuel</t>
  </si>
  <si>
    <t>New &amp; Renewable energy</t>
  </si>
  <si>
    <t>Kerosene</t>
  </si>
  <si>
    <t>1. Fuel wood (kg.)</t>
  </si>
  <si>
    <t>Diesel</t>
  </si>
  <si>
    <t>2. Charcoal (kg.)</t>
  </si>
  <si>
    <t>3. Paddy husk (kg.)</t>
  </si>
  <si>
    <t>Garbage</t>
  </si>
  <si>
    <t>4. Bagasse (kg.)</t>
  </si>
  <si>
    <t>Biogas</t>
  </si>
  <si>
    <t>ktoe/m3</t>
  </si>
  <si>
    <t>5. Garbage (kg.)</t>
  </si>
  <si>
    <t>Fuel Wood</t>
  </si>
  <si>
    <t>6. Saw dust (kg.)</t>
  </si>
  <si>
    <t>Charcoal</t>
  </si>
  <si>
    <t>7. Agricultural waste (kg.)</t>
  </si>
  <si>
    <t>Paddy Husk</t>
  </si>
  <si>
    <r>
      <t>8. Biogas (m</t>
    </r>
    <r>
      <rPr>
        <vertAlign val="superscript"/>
        <sz val="10"/>
        <rFont val="Cambria"/>
        <family val="2"/>
        <scheme val="major"/>
      </rPr>
      <t>3</t>
    </r>
    <r>
      <rPr>
        <sz val="10"/>
        <rFont val="Cambria"/>
        <family val="2"/>
        <scheme val="major"/>
      </rPr>
      <t>)</t>
    </r>
  </si>
  <si>
    <t>Bagasse</t>
  </si>
  <si>
    <t xml:space="preserve">Default Emission Factor for Energy Combustion </t>
  </si>
  <si>
    <t>Emission Factors for Civil Aviation</t>
  </si>
  <si>
    <r>
      <t xml:space="preserve">Source: </t>
    </r>
    <r>
      <rPr>
        <sz val="10"/>
        <rFont val="Cambria"/>
        <family val="1"/>
        <scheme val="major"/>
      </rPr>
      <t>2006 IPCC Guidelines for National Greenhouse Gas Inventories, Volume 2: Energy</t>
    </r>
  </si>
  <si>
    <t>1.1] Chapter 3 : Mobile combustion</t>
  </si>
  <si>
    <t>Contents</t>
  </si>
  <si>
    <r>
      <t>TABLE 3.2.1 ROAD TRANSPORT DEFAULT CO</t>
    </r>
    <r>
      <rPr>
        <vertAlign val="subscript"/>
        <sz val="10"/>
        <color theme="1"/>
        <rFont val="Cambria"/>
        <family val="1"/>
        <scheme val="major"/>
      </rPr>
      <t xml:space="preserve">2 </t>
    </r>
    <r>
      <rPr>
        <sz val="10"/>
        <color theme="1"/>
        <rFont val="Cambria"/>
        <family val="1"/>
        <scheme val="major"/>
      </rPr>
      <t xml:space="preserve">EMISSION FACTORS AND UNCERTAINTY RANGES </t>
    </r>
    <r>
      <rPr>
        <vertAlign val="superscript"/>
        <sz val="10"/>
        <color theme="1"/>
        <rFont val="Cambria"/>
        <family val="1"/>
        <scheme val="major"/>
      </rPr>
      <t>(a)</t>
    </r>
    <r>
      <rPr>
        <sz val="10"/>
        <color theme="1"/>
        <rFont val="Cambria"/>
        <family val="1"/>
        <scheme val="major"/>
      </rPr>
      <t xml:space="preserve"> , Page 3.16</t>
    </r>
  </si>
  <si>
    <t>Emission factor from ICAO</t>
  </si>
  <si>
    <t>Type Fuel</t>
  </si>
  <si>
    <r>
      <t>CO</t>
    </r>
    <r>
      <rPr>
        <b/>
        <vertAlign val="subscript"/>
        <sz val="10"/>
        <color theme="0"/>
        <rFont val="Cambria"/>
        <family val="1"/>
        <scheme val="major"/>
      </rPr>
      <t>2</t>
    </r>
    <r>
      <rPr>
        <b/>
        <sz val="10"/>
        <color theme="0"/>
        <rFont val="Cambria"/>
        <family val="1"/>
        <scheme val="major"/>
      </rPr>
      <t xml:space="preserve"> (kg/TJ) </t>
    </r>
  </si>
  <si>
    <t>Emission factor from GPG 2000 - IPCC</t>
  </si>
  <si>
    <t>Default</t>
  </si>
  <si>
    <t>Lower</t>
  </si>
  <si>
    <t>Upper</t>
  </si>
  <si>
    <t>Emissions factor from 2006 IPCC GL</t>
  </si>
  <si>
    <t xml:space="preserve">Motor Gasoline </t>
  </si>
  <si>
    <t xml:space="preserve">Gas/ Diesel Oil </t>
  </si>
  <si>
    <t xml:space="preserve">Liquefied Petroleum Gases </t>
  </si>
  <si>
    <t>Aircraft</t>
  </si>
  <si>
    <t>LTO emission factors/aeroplane kg/LTO/aircraft)</t>
  </si>
  <si>
    <t>Fuel consumption (kg/LTO/aircraft)</t>
  </si>
  <si>
    <t>Aircraft type</t>
  </si>
  <si>
    <t>DEFAULT FUEL USE AND EMISSION FACTORS FOR SOME AIRCRAFT TYPES FOR LTO CYCLE. KG/LTO</t>
  </si>
  <si>
    <t>Fuel</t>
  </si>
  <si>
    <t>HC</t>
  </si>
  <si>
    <t>NOx</t>
  </si>
  <si>
    <t>CO</t>
  </si>
  <si>
    <r>
      <t>SO</t>
    </r>
    <r>
      <rPr>
        <b/>
        <vertAlign val="subscript"/>
        <sz val="10"/>
        <rFont val="Cambria"/>
        <family val="1"/>
        <scheme val="major"/>
      </rPr>
      <t>2</t>
    </r>
  </si>
  <si>
    <r>
      <t>CH</t>
    </r>
    <r>
      <rPr>
        <b/>
        <vertAlign val="subscript"/>
        <sz val="10"/>
        <color theme="1"/>
        <rFont val="Cambria"/>
        <family val="1"/>
        <scheme val="major"/>
      </rPr>
      <t>4</t>
    </r>
  </si>
  <si>
    <r>
      <t>N</t>
    </r>
    <r>
      <rPr>
        <b/>
        <vertAlign val="subscript"/>
        <sz val="10"/>
        <color theme="1"/>
        <rFont val="Cambria"/>
        <family val="1"/>
        <scheme val="major"/>
      </rPr>
      <t>2</t>
    </r>
    <r>
      <rPr>
        <b/>
        <sz val="10"/>
        <color theme="1"/>
        <rFont val="Cambria"/>
        <family val="1"/>
        <scheme val="major"/>
      </rPr>
      <t>O</t>
    </r>
  </si>
  <si>
    <t>NMVOCs</t>
  </si>
  <si>
    <r>
      <t>SO</t>
    </r>
    <r>
      <rPr>
        <b/>
        <vertAlign val="subscript"/>
        <sz val="10"/>
        <color theme="1"/>
        <rFont val="Cambria"/>
        <family val="1"/>
        <scheme val="major"/>
      </rPr>
      <t>2</t>
    </r>
  </si>
  <si>
    <t>DEFAULT FUEL USE AND EMISSION FACTORS FOR AVERAGE AIRCRAFT FOR LTO CYCLE AND CRUISE</t>
  </si>
  <si>
    <r>
      <t xml:space="preserve">Lubricants </t>
    </r>
    <r>
      <rPr>
        <vertAlign val="superscript"/>
        <sz val="10"/>
        <color rgb="FF000000"/>
        <rFont val="Cambria"/>
        <family val="1"/>
        <scheme val="major"/>
      </rPr>
      <t>(b)</t>
    </r>
    <r>
      <rPr>
        <sz val="10"/>
        <color rgb="FF000000"/>
        <rFont val="Cambria"/>
        <family val="1"/>
        <scheme val="major"/>
      </rPr>
      <t xml:space="preserve">
 </t>
    </r>
  </si>
  <si>
    <t>Large commercial aircraft</t>
  </si>
  <si>
    <t>A300</t>
  </si>
  <si>
    <t>Domestic Fuel</t>
  </si>
  <si>
    <t xml:space="preserve">Compressed Natural Gas </t>
  </si>
  <si>
    <t>A310</t>
  </si>
  <si>
    <t>LTO (kg/LTO)-Average fleet</t>
  </si>
  <si>
    <t>Liquefied Natural Gas</t>
  </si>
  <si>
    <t>A319</t>
  </si>
  <si>
    <t>A320</t>
  </si>
  <si>
    <t>LTO (kg/LTO)-Old fleet</t>
  </si>
  <si>
    <t xml:space="preserve">Source: Table 1.4 in the Introduction chapter of the Energy Volume.
Notes:
(a) Values represent 100 percent oxidation of fuel carbon content.
(b)  See Box 3.2.4 Lubricants in Mobile Combustion for guidance for uses of lubricants. </t>
  </si>
  <si>
    <t>BAC1-11</t>
  </si>
  <si>
    <t>Cruise (kg/ton)</t>
  </si>
  <si>
    <t>A321</t>
  </si>
  <si>
    <t>BAe146</t>
  </si>
  <si>
    <t>International</t>
  </si>
  <si>
    <t>A330-200/300</t>
  </si>
  <si>
    <t>B707*</t>
  </si>
  <si>
    <t>A340-200</t>
  </si>
  <si>
    <t>B727</t>
  </si>
  <si>
    <t>A340-300</t>
  </si>
  <si>
    <t>B727*</t>
  </si>
  <si>
    <r>
      <t>Table 3.2.2 ROAD TRANSPORT N</t>
    </r>
    <r>
      <rPr>
        <vertAlign val="subscript"/>
        <sz val="10"/>
        <color theme="1"/>
        <rFont val="Cambria"/>
        <family val="1"/>
        <scheme val="major"/>
      </rPr>
      <t>2</t>
    </r>
    <r>
      <rPr>
        <sz val="10"/>
        <color theme="1"/>
        <rFont val="Cambria"/>
        <family val="1"/>
        <scheme val="major"/>
      </rPr>
      <t>O AND CH</t>
    </r>
    <r>
      <rPr>
        <vertAlign val="subscript"/>
        <sz val="10"/>
        <color theme="1"/>
        <rFont val="Cambria"/>
        <family val="1"/>
        <scheme val="major"/>
      </rPr>
      <t>4</t>
    </r>
    <r>
      <rPr>
        <sz val="10"/>
        <color theme="1"/>
        <rFont val="Cambria"/>
        <family val="1"/>
        <scheme val="major"/>
      </rPr>
      <t xml:space="preserve"> DEFAULT EMISSION FACTORS AND UNCERTAINTY RANGES (a)  , Page 3.16</t>
    </r>
  </si>
  <si>
    <t>A340-500/600</t>
  </si>
  <si>
    <t>B737-300</t>
  </si>
  <si>
    <t>IPCC Guidelines on National Greenhouse Gas Inventories. Reference Manual, page 1.98.</t>
  </si>
  <si>
    <r>
      <t>CH</t>
    </r>
    <r>
      <rPr>
        <b/>
        <vertAlign val="subscript"/>
        <sz val="10"/>
        <color theme="0"/>
        <rFont val="Cambria"/>
        <family val="1"/>
        <scheme val="major"/>
      </rPr>
      <t>4</t>
    </r>
    <r>
      <rPr>
        <b/>
        <sz val="10"/>
        <color theme="0"/>
        <rFont val="Cambria"/>
        <family val="1"/>
        <scheme val="major"/>
      </rPr>
      <t xml:space="preserve"> ( kg /TJ) </t>
    </r>
  </si>
  <si>
    <r>
      <t>N</t>
    </r>
    <r>
      <rPr>
        <b/>
        <vertAlign val="subscript"/>
        <sz val="10"/>
        <color theme="0"/>
        <rFont val="Cambria"/>
        <family val="1"/>
        <scheme val="major"/>
      </rPr>
      <t>2</t>
    </r>
    <r>
      <rPr>
        <b/>
        <sz val="10"/>
        <color theme="0"/>
        <rFont val="Cambria"/>
        <family val="1"/>
        <scheme val="major"/>
      </rPr>
      <t xml:space="preserve">O  ( kg /TJ) </t>
    </r>
  </si>
  <si>
    <t>B737*</t>
  </si>
  <si>
    <t xml:space="preserve">Default </t>
  </si>
  <si>
    <t>B737-400</t>
  </si>
  <si>
    <t xml:space="preserve">Motor Gasoline -Uncontrolled (b) </t>
  </si>
  <si>
    <t>727-100</t>
  </si>
  <si>
    <t>B747-200</t>
  </si>
  <si>
    <t xml:space="preserve">Motor Gasoline –Oxidation Catalyst (c) </t>
  </si>
  <si>
    <t>727-200</t>
  </si>
  <si>
    <t>B747*</t>
  </si>
  <si>
    <t>Motor Gasoline –Low Mileage Light Duty Vehicle Vintage 1995 or Later (d)</t>
  </si>
  <si>
    <t>737-100/200</t>
  </si>
  <si>
    <t>B747-400</t>
  </si>
  <si>
    <t xml:space="preserve">Gas / Diesel Oil (e) </t>
  </si>
  <si>
    <t>737-300/400/500</t>
  </si>
  <si>
    <t>B757</t>
  </si>
  <si>
    <t xml:space="preserve">Natural Gas (f) </t>
  </si>
  <si>
    <t>737-600</t>
  </si>
  <si>
    <t>B767</t>
  </si>
  <si>
    <t xml:space="preserve">Liquified petroleum gas (g) </t>
  </si>
  <si>
    <t>na</t>
  </si>
  <si>
    <t>737-700</t>
  </si>
  <si>
    <t>Caravelle*</t>
  </si>
  <si>
    <t>Ethanol, trucks, US (h)</t>
  </si>
  <si>
    <t>737-800/900</t>
  </si>
  <si>
    <t>DC8</t>
  </si>
  <si>
    <t xml:space="preserve">Ethanol, cars, Brazil (i) </t>
  </si>
  <si>
    <t>747-100</t>
  </si>
  <si>
    <t>DC9</t>
  </si>
  <si>
    <t>Sources: USEPA (2004b), EEA (2005a), TNO (2003) and Borsari (2005) CETESB (2004 &amp; 2005) with assumptions given below. Uncertainty ranges were derived from data in Lipman and Delucchi (2002), except for ethanol in cars.
(a) Except for LPG and ethanol cars, default values are derived from the sources indicated using the NCV values reported in the Energy Volume Introduction chapter; density values reported by the U.S. Energy Information Administration; and the
following assumed representative fuel consumption values: 10 km/l for motor gasoline vehicles; 5 km/l for diesel vehicles; 9 km/l for natural gas vehicles (assumed equivalent to gasoline vehicles); 9 km/l for ethanol vehicles. If actual representative fuel economy values are available, it is recommended that they be used with total fuel use data to estimate total distance travelled data, which should then be multiplied by Tier 2 emission factors for N2O and CH4.
(b) Motor gasoline uncontrolled default value is based on USEPA (2004b) value for a USA light duty gasoline vehicle (car) – uncontrolled, converted using values and assumptions described in table note (a). If motorcycles account for a significant share of the national vehicle population, inventory compilers should adjust the given default emission factor downwards.
(c) Motor gasoline – light duty vehicle oxidation catalyst default value is based on the USEPA (2004b) value for a USA Light Duty Gasoline Vehicle (Car) – Oxidation Catalyst, converted using values and assumptions described in table note (a). If motorcycles account for a significant share of the national vehicle population, inventory compilers should adjust the given default emission factor downwards.
(d) Motor gasoline – light duty vehicle vintage 1995 or later default value is based on the USEPA (2004b) value for a USA Light Duty Gasoline Vehicle (Car) – Tier 1, converted using values and assumptions described in table note (a). If motorcycles account for a significant share of the national vehicle population, inventory compilers should adjust the given default emission factor downwards.
(e) Diesel default value is based on the EEA (2005a) value for a European heavy duty diesel truck, converted using values and assumptions described in table note (a). 
(f) Natural gas default and lower values were based on a study by TNO (2003), conducted using European vehicles and test cycles in the Netherlands. There is a lot of uncertainties for N2O. The USEPA (2004b) has a default value of 350 kg CH4/TJ and 28 kg N2O/TJ for a USA CNG car, converted using values and assumptions described in table note (a). Upper and lower limits are also taken from USEPA (2004b)
(g) The default value for methane emissions from LPG, considering for 50 MJ/kg low heating value and 3.1 g CH4/kg LPG was obtained from TNO (2003). Uncertainty ranges have not been provided. 
(h) Ethanol default value is based on the USEPA (2004b) value for a USA ethanol heavy duty truck, converted using values and assumptions described in table note (a).
(i) Data obtained in Brazilian vehicles by Borsari (2005) and CETESB (2004 &amp; 2005). For new 2003 models, best case: 51.3 kg THC/TJ fuel and 26.0 percent CH4 in THC. For 5 years old vehicles: 67 kg THC/TJ fuel and 27.2 percent CH4 in THC. For 10 years old: 308 kg THC/TJ fuel and 27.2 percent CH4 in THC</t>
  </si>
  <si>
    <t>747-200</t>
  </si>
  <si>
    <t>DC10</t>
  </si>
  <si>
    <t>747-300</t>
  </si>
  <si>
    <t>F28</t>
  </si>
  <si>
    <t>2.2 Railways</t>
  </si>
  <si>
    <t>747-400</t>
  </si>
  <si>
    <t>F100</t>
  </si>
  <si>
    <t>Table 3.4.1 Defult emission factors the most common fuels used rail transport (kg of greenhouse gas per TJ on a Net Calorific Basis)</t>
  </si>
  <si>
    <t>757-200</t>
  </si>
  <si>
    <t>L1011*</t>
  </si>
  <si>
    <t>GAS</t>
  </si>
  <si>
    <t>Diesel (kg/TJ)</t>
  </si>
  <si>
    <t>Sub-bituminus Coal (kg/TJ)</t>
  </si>
  <si>
    <t>757-300</t>
  </si>
  <si>
    <t>SAAB340</t>
  </si>
  <si>
    <t>1.4(E)</t>
  </si>
  <si>
    <t>0.03(E)</t>
  </si>
  <si>
    <t>0.3(E)</t>
  </si>
  <si>
    <t>22.1(E)</t>
  </si>
  <si>
    <t>12.7(E)</t>
  </si>
  <si>
    <t>300(E)</t>
  </si>
  <si>
    <t>767-200</t>
  </si>
  <si>
    <t>Tupolev 154</t>
  </si>
  <si>
    <r>
      <t>CO</t>
    </r>
    <r>
      <rPr>
        <vertAlign val="subscript"/>
        <sz val="10"/>
        <color indexed="8"/>
        <rFont val="Cambria"/>
        <family val="1"/>
        <scheme val="major"/>
      </rPr>
      <t>2</t>
    </r>
  </si>
  <si>
    <t>767-300</t>
  </si>
  <si>
    <t>Concorde</t>
  </si>
  <si>
    <r>
      <t>CH</t>
    </r>
    <r>
      <rPr>
        <vertAlign val="subscript"/>
        <sz val="10"/>
        <color indexed="8"/>
        <rFont val="Cambria"/>
        <family val="1"/>
        <scheme val="major"/>
      </rPr>
      <t>4</t>
    </r>
  </si>
  <si>
    <t>767-400</t>
  </si>
  <si>
    <t>GAjet</t>
  </si>
  <si>
    <r>
      <t>N</t>
    </r>
    <r>
      <rPr>
        <vertAlign val="subscript"/>
        <sz val="10"/>
        <color indexed="8"/>
        <rFont val="Cambria"/>
        <family val="1"/>
        <scheme val="major"/>
      </rPr>
      <t>2</t>
    </r>
    <r>
      <rPr>
        <sz val="10"/>
        <color indexed="8"/>
        <rFont val="Cambria"/>
        <family val="1"/>
        <scheme val="major"/>
      </rPr>
      <t>O</t>
    </r>
  </si>
  <si>
    <t>777-200/300</t>
  </si>
  <si>
    <t>DC-10</t>
  </si>
  <si>
    <t>Source: IPCC Guidelines on National Greenhouse Gas Inventories. Reference Manual, page 1.96.</t>
  </si>
  <si>
    <t>DC-8-50/60/70</t>
  </si>
  <si>
    <t>*The emission factors for domestic aviation have been derived from an average of a number of typical aircraft. For domestic aircraft, the</t>
  </si>
  <si>
    <t>WATER-BORNE NAVIGATION</t>
  </si>
  <si>
    <t>DC-9</t>
  </si>
  <si>
    <t>average fleet is represented by Airbus A320, Boeing 727, Boeing 737-400, Mc Donell Douglas DC9 and MD 80 aircraft. The old fleet is</t>
  </si>
  <si>
    <t>TABLE 3.5.2 CO2 EMISSION FACTORS</t>
  </si>
  <si>
    <t>L-1011</t>
  </si>
  <si>
    <t>represented by Boeing B737 and Mc Donell Douglas DC9. For international traffic the average fleet is represented by Airbus A300,</t>
  </si>
  <si>
    <t>MD-11</t>
  </si>
  <si>
    <t>Boeing 767, B747 and Mc Donell Douglas DC10, whilst the old fleet is represented by the Boeing B707, Boeing 747 and Mc Donell</t>
  </si>
  <si>
    <t>MD-80</t>
  </si>
  <si>
    <t>Douglas DC8. Sulphur content of the fuel is assumed to be 0.05% S for both LTO and cruise activities</t>
  </si>
  <si>
    <t>MD-90</t>
  </si>
  <si>
    <t>Other Kerosene</t>
  </si>
  <si>
    <t>TU-134</t>
  </si>
  <si>
    <t>Gas/Diesel Oil</t>
  </si>
  <si>
    <t>TU-154-M</t>
  </si>
  <si>
    <t>Residual Fuel Oil</t>
  </si>
  <si>
    <t>TU-154-B</t>
  </si>
  <si>
    <t>TABLE 3.6.9: LTO EMISSION FACTORS FOR TYPICAL AIRCRAFT</t>
  </si>
  <si>
    <t>Liquefied Petroleum Gases</t>
  </si>
  <si>
    <t>Regional jets and business</t>
  </si>
  <si>
    <t>RJ-RJ85</t>
  </si>
  <si>
    <t>AIRCRAFT</t>
  </si>
  <si>
    <r>
      <t>LTO emissions factors (kg/LTO/)</t>
    </r>
    <r>
      <rPr>
        <b/>
        <vertAlign val="superscript"/>
        <sz val="10"/>
        <color theme="1"/>
        <rFont val="Cambria"/>
        <family val="1"/>
        <scheme val="major"/>
      </rPr>
      <t>(12)</t>
    </r>
  </si>
  <si>
    <t>LTO Fuel Consumption (kg/LTO)</t>
  </si>
  <si>
    <t>Other Oil</t>
  </si>
  <si>
    <t>Refinery Gas</t>
  </si>
  <si>
    <t>BAE146</t>
  </si>
  <si>
    <r>
      <t>CO</t>
    </r>
    <r>
      <rPr>
        <b/>
        <vertAlign val="subscript"/>
        <sz val="10"/>
        <color theme="1"/>
        <rFont val="Cambria"/>
        <family val="1"/>
        <scheme val="major"/>
      </rPr>
      <t>2</t>
    </r>
  </si>
  <si>
    <t>NMVOC</t>
  </si>
  <si>
    <t>Paraffin Waxes</t>
  </si>
  <si>
    <t>CRJ-100ER</t>
  </si>
  <si>
    <t>Large Commercial Aircraft</t>
  </si>
  <si>
    <t>White Spirit &amp; SBP</t>
  </si>
  <si>
    <t>ERJ-145</t>
  </si>
  <si>
    <t>Other Petroleum
Products</t>
  </si>
  <si>
    <t>Fokker 100/70/28</t>
  </si>
  <si>
    <t>Natural Gas</t>
  </si>
  <si>
    <t>BAC111</t>
  </si>
  <si>
    <t>Dornier 328 jet</t>
  </si>
  <si>
    <t>TABLE 3.5.3 DEFAULT WATER-BORNE NAVIGATION CH4 AND N2O EMISSION FACTORS</t>
  </si>
  <si>
    <t>Gulfstream IV</t>
  </si>
  <si>
    <t xml:space="preserve"> (kg/TJ) </t>
  </si>
  <si>
    <t>Gulfstream v</t>
  </si>
  <si>
    <t xml:space="preserve">CH4 </t>
  </si>
  <si>
    <t xml:space="preserve">N2O </t>
  </si>
  <si>
    <t>Yak-42M</t>
  </si>
  <si>
    <t>Ocean-going Ships *</t>
  </si>
  <si>
    <t>Low thrust jets</t>
  </si>
  <si>
    <t>Cessna 525/560</t>
  </si>
  <si>
    <t xml:space="preserve">+ 50% </t>
  </si>
  <si>
    <t>140% -40%</t>
  </si>
  <si>
    <t>Turboprops</t>
  </si>
  <si>
    <t>Beech King Air</t>
  </si>
  <si>
    <t>*Default values derived for diesel engines using heavy fuel oil. Source: Lloyd’s Register (1995) and EC (2002)</t>
  </si>
  <si>
    <t>DHC8-100</t>
  </si>
  <si>
    <t>ATR72-500</t>
  </si>
  <si>
    <t>Regional Jets</t>
  </si>
  <si>
    <t>BAE 146</t>
  </si>
  <si>
    <t>Fokker100/70/28</t>
  </si>
  <si>
    <t>BAC 111</t>
  </si>
  <si>
    <t>Dornier 328 Jet</t>
  </si>
  <si>
    <t>Gulfstream V</t>
  </si>
  <si>
    <t>Jets</t>
  </si>
  <si>
    <t>การจัดการของเสีย (Waste)</t>
  </si>
  <si>
    <t>การจัดการของเสียด้วยวิธีฝังกลบ (Solid waste disposal)</t>
  </si>
  <si>
    <t>การกำจัดขยะแบบฝังกลบ</t>
  </si>
  <si>
    <t>Year</t>
  </si>
  <si>
    <t>Amount deposited</t>
  </si>
  <si>
    <t>Methane Correction Factor</t>
    <phoneticPr fontId="15"/>
  </si>
  <si>
    <t>Degradable Organic Carbon(DOC)</t>
  </si>
  <si>
    <t>Decomposable DOC (DDOCm) deposited</t>
  </si>
  <si>
    <t>DDOCm not reacted. Deposition year</t>
  </si>
  <si>
    <t>DDOCm decomposed. Deposition year</t>
  </si>
  <si>
    <t>DDOCm accumulated in SWDS end of year</t>
  </si>
  <si>
    <t>DDOCm decomposed</t>
  </si>
  <si>
    <t>W (tons)</t>
    <phoneticPr fontId="15"/>
  </si>
  <si>
    <t>MCF</t>
  </si>
  <si>
    <t xml:space="preserve">DOC fraction </t>
  </si>
  <si>
    <t>D=W*DOC*DOCf*MCF</t>
    <phoneticPr fontId="15"/>
  </si>
  <si>
    <t>B = D * exp2</t>
  </si>
  <si>
    <t>C = D * (1- exp2)</t>
  </si>
  <si>
    <t>H = B + (Hlast year * exp1)</t>
  </si>
  <si>
    <t>E = C + Hlast year * (1 - exp1)</t>
  </si>
  <si>
    <t>Q=E*16/12*F</t>
    <phoneticPr fontId="15"/>
  </si>
  <si>
    <t>M=Q(1-OX)</t>
  </si>
  <si>
    <t>GWP</t>
    <phoneticPr fontId="15"/>
  </si>
  <si>
    <t>tons</t>
    <phoneticPr fontId="15"/>
  </si>
  <si>
    <t>DOCmixwaste</t>
  </si>
  <si>
    <t>Weighted average</t>
  </si>
  <si>
    <t>Fraction of DOC decomposting in Anaerobic condition</t>
    <phoneticPr fontId="15"/>
  </si>
  <si>
    <t>DOCf</t>
  </si>
  <si>
    <t>Methane generation rate constant</t>
  </si>
  <si>
    <t>k</t>
  </si>
  <si>
    <t xml:space="preserve">Weighted average </t>
  </si>
  <si>
    <t>Half- life time (t1/2, years)</t>
    <phoneticPr fontId="15"/>
  </si>
  <si>
    <t>h=In(2)/k</t>
  </si>
  <si>
    <t>exp1</t>
  </si>
  <si>
    <t>exp(-k)</t>
  </si>
  <si>
    <t>Process start in decomposition year, month</t>
    <phoneticPr fontId="15"/>
  </si>
  <si>
    <t>M</t>
  </si>
  <si>
    <t>Exp2</t>
  </si>
  <si>
    <t>exp(-k((13-M)/12</t>
  </si>
  <si>
    <t>F</t>
  </si>
  <si>
    <t xml:space="preserve">Methane Oxidation on Landfill cover </t>
  </si>
  <si>
    <t>OX</t>
  </si>
  <si>
    <t>MCF for the landfill site</t>
    <phoneticPr fontId="15"/>
  </si>
  <si>
    <t>Waste type</t>
    <phoneticPr fontId="15"/>
  </si>
  <si>
    <t>Composition (%)</t>
    <phoneticPr fontId="15"/>
  </si>
  <si>
    <t>DOC default</t>
  </si>
  <si>
    <t>เศษอาหาร</t>
  </si>
  <si>
    <t>กระดาษ</t>
  </si>
  <si>
    <t>พลาสติก</t>
  </si>
  <si>
    <t>แก้ว</t>
  </si>
  <si>
    <t>โลหะ</t>
  </si>
  <si>
    <t>ยาง/หนัง</t>
  </si>
  <si>
    <t>ผ้า</t>
  </si>
  <si>
    <t>ไม้/ใบไม้</t>
  </si>
  <si>
    <t>หิน/กระเบื้อง</t>
  </si>
  <si>
    <t>(IPCC default)</t>
    <phoneticPr fontId="15"/>
  </si>
  <si>
    <t>การกำจัดขยะแบบเทกอง</t>
  </si>
  <si>
    <t xml:space="preserve">MCF for the dump sites </t>
  </si>
  <si>
    <t>Factors for Calculate GHG Emissions from Waste</t>
  </si>
  <si>
    <t>Factors</t>
  </si>
  <si>
    <t>Value</t>
  </si>
  <si>
    <r>
      <t xml:space="preserve">2006 IPCC </t>
    </r>
    <r>
      <rPr>
        <b/>
        <vertAlign val="superscript"/>
        <sz val="10"/>
        <color theme="0"/>
        <rFont val="Cambria"/>
        <family val="1"/>
        <scheme val="major"/>
      </rPr>
      <t>(1)</t>
    </r>
  </si>
  <si>
    <r>
      <t xml:space="preserve">SNC </t>
    </r>
    <r>
      <rPr>
        <b/>
        <vertAlign val="superscript"/>
        <sz val="10"/>
        <color theme="0"/>
        <rFont val="Cambria"/>
        <family val="1"/>
        <scheme val="major"/>
      </rPr>
      <t>(2)</t>
    </r>
  </si>
  <si>
    <r>
      <t>DOC</t>
    </r>
    <r>
      <rPr>
        <b/>
        <vertAlign val="subscript"/>
        <sz val="10"/>
        <rFont val="Cambria"/>
        <family val="1"/>
        <scheme val="major"/>
      </rPr>
      <t>F</t>
    </r>
  </si>
  <si>
    <t>Methane Correstion Factor (MCF)</t>
  </si>
  <si>
    <t>Managed, Landfill</t>
  </si>
  <si>
    <t>Managed, semi-aerobic</t>
  </si>
  <si>
    <t>Un-managed, deep, OD (high &gt; 5 m)</t>
  </si>
  <si>
    <t>Un-managed, shallow, OD (high &lt; 5 m)</t>
  </si>
  <si>
    <t>Uncate-gorised</t>
  </si>
  <si>
    <t>Oxidation factor (OX)</t>
  </si>
  <si>
    <t>LF</t>
  </si>
  <si>
    <t>OD</t>
  </si>
  <si>
    <r>
      <t>Fraction of CH</t>
    </r>
    <r>
      <rPr>
        <b/>
        <vertAlign val="subscript"/>
        <sz val="10"/>
        <rFont val="Cambria"/>
        <family val="1"/>
        <scheme val="major"/>
      </rPr>
      <t>4</t>
    </r>
    <r>
      <rPr>
        <b/>
        <sz val="10"/>
        <rFont val="Cambria"/>
        <family val="1"/>
        <scheme val="major"/>
      </rPr>
      <t xml:space="preserve"> generated in LF gas (F)</t>
    </r>
  </si>
  <si>
    <r>
      <t>Convert C-CH</t>
    </r>
    <r>
      <rPr>
        <b/>
        <vertAlign val="subscript"/>
        <sz val="10"/>
        <color theme="1"/>
        <rFont val="Cambria"/>
        <family val="1"/>
        <scheme val="major"/>
      </rPr>
      <t>4</t>
    </r>
  </si>
  <si>
    <t>(1) 2006 IPCC GL
(2) SNC Report of Thailand</t>
  </si>
  <si>
    <t>การจัดการของเสียด้วยวิธีการทางชีวภาพ (Biological treatment of waste)</t>
  </si>
  <si>
    <t>การทำปุ๋ย</t>
  </si>
  <si>
    <t>การจัดการแบบเชิงกลและชีวภาพ” (MBT)</t>
  </si>
  <si>
    <t>ปริมาณ</t>
  </si>
  <si>
    <t>ตัน/ปี</t>
  </si>
  <si>
    <t>Org waste</t>
  </si>
  <si>
    <t>%</t>
  </si>
  <si>
    <t>Ton Waste</t>
  </si>
  <si>
    <t>ปริมาณการปล่อยก๊าซเรือนกระจก</t>
  </si>
  <si>
    <t>การจัดการของเสียด้วยวิธีการเผาไหม้ (Incineration and open burning)</t>
  </si>
  <si>
    <t>ขยะมูลฝอย: เตาเผาขยะชุมชน</t>
  </si>
  <si>
    <t>องค์ประกอบขยะมูลฝอย</t>
  </si>
  <si>
    <t>ปริมาณขยะ</t>
  </si>
  <si>
    <t>ton</t>
  </si>
  <si>
    <t>Waste type</t>
  </si>
  <si>
    <t>Composition</t>
  </si>
  <si>
    <t>IPCC default</t>
  </si>
  <si>
    <t>Dry matter content</t>
  </si>
  <si>
    <t>dm</t>
  </si>
  <si>
    <t>FCC</t>
  </si>
  <si>
    <t>FFC</t>
  </si>
  <si>
    <t>carbon content</t>
  </si>
  <si>
    <t xml:space="preserve"> (%)</t>
  </si>
  <si>
    <t>Fossil carbon</t>
  </si>
  <si>
    <t>oxidation factor</t>
  </si>
  <si>
    <t>44/12</t>
  </si>
  <si>
    <t>Batch type</t>
  </si>
  <si>
    <t xml:space="preserve">ตารางที่ 5.2 2006 IPCC Guidelines for National Greenhouse Gas Inventories Volume 5: Waste </t>
  </si>
  <si>
    <t xml:space="preserve">ขยะอันตราย: Incineration </t>
  </si>
  <si>
    <t>การจัดการน้ำเสียและการปล่อยทิ้ง (Wastewater treatment and discharge)</t>
  </si>
  <si>
    <t xml:space="preserve">Septic tank </t>
  </si>
  <si>
    <t>unit</t>
  </si>
  <si>
    <t>TOW  = P x BOD x l x 0.001 x 365</t>
  </si>
  <si>
    <t>Actual  Inf</t>
  </si>
  <si>
    <t>P</t>
  </si>
  <si>
    <t xml:space="preserve">Population </t>
  </si>
  <si>
    <t>person</t>
  </si>
  <si>
    <t>BOD</t>
  </si>
  <si>
    <t>BOD (g/person/day)</t>
  </si>
  <si>
    <t>Table 6.4</t>
  </si>
  <si>
    <t>BOD influent</t>
  </si>
  <si>
    <t>mg/L</t>
    <phoneticPr fontId="19"/>
  </si>
  <si>
    <t xml:space="preserve">correction factor </t>
  </si>
  <si>
    <t>for collected the default is 1.25, for uncollected the default is 1.00.</t>
  </si>
  <si>
    <t xml:space="preserve">TOW </t>
  </si>
  <si>
    <t>kgBOD/year</t>
  </si>
  <si>
    <t>COD influent</t>
  </si>
  <si>
    <t>EF</t>
  </si>
  <si>
    <t>EFj =</t>
  </si>
  <si>
    <t>Bo x MFCj</t>
  </si>
  <si>
    <t>Bo</t>
  </si>
  <si>
    <t>IPCC default Table 6.2</t>
  </si>
  <si>
    <t>MCFj</t>
  </si>
  <si>
    <t>IPCC default Table 6.3</t>
  </si>
  <si>
    <t>ปริมาณน้ำประปา</t>
  </si>
  <si>
    <t>TOW x EFj</t>
  </si>
  <si>
    <t>ปริมาณน้ำบาดาล</t>
  </si>
  <si>
    <t>ปริมาณน้ำใช้ทั้งหมด</t>
  </si>
  <si>
    <t>ปริมาณน้ำเสียทั้งหมด</t>
  </si>
  <si>
    <t>Untreated</t>
  </si>
  <si>
    <t>น้ำเสียโรงพยาบาล</t>
  </si>
  <si>
    <t>น้ำเสียอุตสาหกรรม</t>
  </si>
  <si>
    <t xml:space="preserve">Waste water volume </t>
  </si>
  <si>
    <t>Data from Dep. Of Drainage&amp;Sewerage</t>
  </si>
  <si>
    <t xml:space="preserve">Treated wastewater </t>
  </si>
  <si>
    <t>Domestic wastewater</t>
  </si>
  <si>
    <t>Hospital wastewater</t>
  </si>
  <si>
    <t>Industrial wastewater</t>
  </si>
  <si>
    <t>TOW  = flow x BOD  x 0.001 x I x 365</t>
  </si>
  <si>
    <t>Total Waste water</t>
  </si>
  <si>
    <t>mg-BOD/day</t>
    <phoneticPr fontId="19"/>
  </si>
  <si>
    <t>mg-BOD/yr</t>
    <phoneticPr fontId="19"/>
  </si>
  <si>
    <t>kgBOD/yr</t>
    <phoneticPr fontId="19"/>
  </si>
  <si>
    <t>mg-BOD/yr</t>
  </si>
  <si>
    <t xml:space="preserve">Default value IPCC 2006 </t>
  </si>
  <si>
    <t>Sludge volume</t>
  </si>
  <si>
    <t xml:space="preserve">กระบวนการอุตสาหกรรมและการใช้ผลิตภัณฑ์ (IPPU) </t>
  </si>
  <si>
    <t>กระบวนการอุตสาหกรรม (Industrial Process)</t>
  </si>
  <si>
    <t>A</t>
    <phoneticPr fontId="4"/>
  </si>
  <si>
    <t>B</t>
    <phoneticPr fontId="4"/>
  </si>
  <si>
    <t>C</t>
    <phoneticPr fontId="4"/>
  </si>
  <si>
    <t>D</t>
    <phoneticPr fontId="4"/>
  </si>
  <si>
    <t>E</t>
    <phoneticPr fontId="4"/>
  </si>
  <si>
    <t>F</t>
    <phoneticPr fontId="4"/>
  </si>
  <si>
    <t>G</t>
    <phoneticPr fontId="4"/>
  </si>
  <si>
    <t>H</t>
    <phoneticPr fontId="4"/>
  </si>
  <si>
    <t>I</t>
    <phoneticPr fontId="4"/>
  </si>
  <si>
    <r>
      <t xml:space="preserve">Individual Type of Cement Produced </t>
    </r>
    <r>
      <rPr>
        <vertAlign val="superscript"/>
        <sz val="10"/>
        <rFont val="Cambria"/>
        <family val="1"/>
        <scheme val="major"/>
      </rPr>
      <t>1)</t>
    </r>
  </si>
  <si>
    <t>Clinker Fraction in Cement</t>
  </si>
  <si>
    <t>Mass of Clinker in the Individual Type of Cement Produced</t>
    <phoneticPr fontId="4"/>
  </si>
  <si>
    <t>Imports for Consumption of Clinker</t>
    <phoneticPr fontId="4"/>
  </si>
  <si>
    <t>Exports of Clinker</t>
    <phoneticPr fontId="4"/>
  </si>
  <si>
    <t>Mass of Clinker Produced in the Country</t>
    <phoneticPr fontId="4"/>
  </si>
  <si>
    <r>
      <t>CO</t>
    </r>
    <r>
      <rPr>
        <vertAlign val="subscript"/>
        <sz val="10"/>
        <rFont val="Cambria"/>
        <family val="1"/>
        <scheme val="major"/>
      </rPr>
      <t>2</t>
    </r>
    <r>
      <rPr>
        <sz val="10"/>
        <rFont val="Cambria"/>
        <family val="1"/>
        <scheme val="major"/>
      </rPr>
      <t xml:space="preserve"> Emissions</t>
    </r>
  </si>
  <si>
    <t>(tonne)</t>
    <phoneticPr fontId="4"/>
  </si>
  <si>
    <t>(fraction)</t>
    <phoneticPr fontId="4"/>
  </si>
  <si>
    <r>
      <t>(tonne CO</t>
    </r>
    <r>
      <rPr>
        <vertAlign val="subscript"/>
        <sz val="10"/>
        <rFont val="Cambria"/>
        <family val="1"/>
        <scheme val="major"/>
      </rPr>
      <t>2</t>
    </r>
    <r>
      <rPr>
        <sz val="10"/>
        <rFont val="Cambria"/>
        <family val="1"/>
        <scheme val="major"/>
      </rPr>
      <t>/
tonne clinker)</t>
    </r>
  </si>
  <si>
    <r>
      <t>(tonne CO</t>
    </r>
    <r>
      <rPr>
        <vertAlign val="subscript"/>
        <sz val="10"/>
        <rFont val="Cambria"/>
        <family val="1"/>
        <scheme val="major"/>
      </rPr>
      <t>2</t>
    </r>
    <r>
      <rPr>
        <sz val="10"/>
        <rFont val="Cambria"/>
        <family val="1"/>
        <scheme val="major"/>
      </rPr>
      <t>)</t>
    </r>
  </si>
  <si>
    <r>
      <t>(Gg CO</t>
    </r>
    <r>
      <rPr>
        <vertAlign val="subscript"/>
        <sz val="10"/>
        <rFont val="Cambria"/>
        <family val="1"/>
        <scheme val="major"/>
      </rPr>
      <t>2</t>
    </r>
    <r>
      <rPr>
        <sz val="10"/>
        <rFont val="Cambria"/>
        <family val="1"/>
        <scheme val="major"/>
      </rPr>
      <t>)</t>
    </r>
  </si>
  <si>
    <t>C = A * B</t>
    <phoneticPr fontId="4"/>
  </si>
  <si>
    <t>F = C - D + E</t>
    <phoneticPr fontId="4"/>
  </si>
  <si>
    <t>H = F * G</t>
    <phoneticPr fontId="4"/>
  </si>
  <si>
    <r>
      <t>I = H/10</t>
    </r>
    <r>
      <rPr>
        <vertAlign val="superscript"/>
        <sz val="10"/>
        <rFont val="Cambria"/>
        <family val="1"/>
        <scheme val="major"/>
      </rPr>
      <t>3</t>
    </r>
  </si>
  <si>
    <t>1) Insert additional rows if more than two types of cement are produced.</t>
    <phoneticPr fontId="4"/>
  </si>
  <si>
    <t>Mineral Industry - Lime Production</t>
  </si>
  <si>
    <r>
      <t>Type of Lime Produced</t>
    </r>
    <r>
      <rPr>
        <vertAlign val="superscript"/>
        <sz val="10"/>
        <rFont val="Cambria"/>
        <family val="1"/>
        <scheme val="major"/>
      </rPr>
      <t>1), 2)</t>
    </r>
  </si>
  <si>
    <t>Mass of Lime Produced</t>
    <phoneticPr fontId="4"/>
  </si>
  <si>
    <r>
      <t>(tonne CO</t>
    </r>
    <r>
      <rPr>
        <vertAlign val="subscript"/>
        <sz val="10"/>
        <rFont val="Cambria"/>
        <family val="1"/>
        <scheme val="major"/>
      </rPr>
      <t>2</t>
    </r>
    <r>
      <rPr>
        <sz val="10"/>
        <rFont val="Cambria"/>
        <family val="1"/>
        <scheme val="major"/>
      </rPr>
      <t>/ tonne lime)</t>
    </r>
  </si>
  <si>
    <r>
      <t>D = C/10</t>
    </r>
    <r>
      <rPr>
        <vertAlign val="superscript"/>
        <sz val="10"/>
        <rFont val="Cambria"/>
        <family val="1"/>
        <scheme val="major"/>
      </rPr>
      <t>3</t>
    </r>
    <r>
      <rPr>
        <sz val="10"/>
        <rFont val="Cambria"/>
        <family val="1"/>
        <scheme val="major"/>
      </rPr>
      <t xml:space="preserve"> </t>
    </r>
  </si>
  <si>
    <t>Mineral Industry - Glass Production</t>
  </si>
  <si>
    <t>Total Glass Production</t>
    <phoneticPr fontId="4"/>
  </si>
  <si>
    <t>Average Annual Cullet Ratio</t>
    <phoneticPr fontId="4"/>
  </si>
  <si>
    <r>
      <t>(tonne CO</t>
    </r>
    <r>
      <rPr>
        <vertAlign val="subscript"/>
        <sz val="10"/>
        <rFont val="Cambria"/>
        <family val="1"/>
        <scheme val="major"/>
      </rPr>
      <t>2</t>
    </r>
    <r>
      <rPr>
        <sz val="10"/>
        <rFont val="Cambria"/>
        <family val="1"/>
        <scheme val="major"/>
      </rPr>
      <t>/ tonne glass)</t>
    </r>
  </si>
  <si>
    <t>D = A * B * (1 - C)</t>
    <phoneticPr fontId="4"/>
  </si>
  <si>
    <r>
      <t>E = D/10</t>
    </r>
    <r>
      <rPr>
        <vertAlign val="superscript"/>
        <sz val="10"/>
        <rFont val="Cambria"/>
        <family val="1"/>
        <scheme val="major"/>
      </rPr>
      <t>3</t>
    </r>
    <r>
      <rPr>
        <sz val="10"/>
        <rFont val="Cambria"/>
        <family val="1"/>
        <scheme val="major"/>
      </rPr>
      <t xml:space="preserve"> </t>
    </r>
  </si>
  <si>
    <t>Chemical Industry - Ammonia Production</t>
  </si>
  <si>
    <t>Amount of Urea Produced</t>
    <phoneticPr fontId="4"/>
  </si>
  <si>
    <t>(GJ/tonne ammonia produced)</t>
  </si>
  <si>
    <t>(kg C/GJ)</t>
    <phoneticPr fontId="4"/>
  </si>
  <si>
    <t>(kg)</t>
    <phoneticPr fontId="4"/>
  </si>
  <si>
    <t>G = F * 44/12</t>
    <phoneticPr fontId="4"/>
  </si>
  <si>
    <t>H = E - G</t>
    <phoneticPr fontId="4"/>
  </si>
  <si>
    <t>Chemical Industry - Nitric Acid Production</t>
  </si>
  <si>
    <t>E</t>
  </si>
  <si>
    <t>Emission Factor</t>
    <phoneticPr fontId="4"/>
  </si>
  <si>
    <r>
      <t>N</t>
    </r>
    <r>
      <rPr>
        <vertAlign val="subscript"/>
        <sz val="10"/>
        <rFont val="Cambria"/>
        <family val="1"/>
        <scheme val="major"/>
      </rPr>
      <t>2</t>
    </r>
    <r>
      <rPr>
        <sz val="10"/>
        <rFont val="Cambria"/>
        <family val="1"/>
        <scheme val="major"/>
      </rPr>
      <t>O Emissions</t>
    </r>
  </si>
  <si>
    <r>
      <t>(kg N</t>
    </r>
    <r>
      <rPr>
        <vertAlign val="subscript"/>
        <sz val="10"/>
        <rFont val="Cambria"/>
        <family val="1"/>
        <scheme val="major"/>
      </rPr>
      <t>2</t>
    </r>
    <r>
      <rPr>
        <sz val="10"/>
        <rFont val="Cambria"/>
        <family val="1"/>
        <scheme val="major"/>
      </rPr>
      <t>O/tonne nitric acid produced)</t>
    </r>
  </si>
  <si>
    <t>(Gg)</t>
    <phoneticPr fontId="4"/>
  </si>
  <si>
    <t>Chemical Industry - Caprolactam, Glyoxal and Glyoxylic Acid Production</t>
  </si>
  <si>
    <r>
      <t>D = C/10</t>
    </r>
    <r>
      <rPr>
        <vertAlign val="superscript"/>
        <sz val="10"/>
        <rFont val="Cambria"/>
        <family val="1"/>
        <scheme val="major"/>
      </rPr>
      <t>6</t>
    </r>
  </si>
  <si>
    <t>E = D * GWP</t>
  </si>
  <si>
    <r>
      <t>t CO</t>
    </r>
    <r>
      <rPr>
        <vertAlign val="subscript"/>
        <sz val="10"/>
        <rFont val="Cambria"/>
        <family val="1"/>
        <scheme val="major"/>
      </rPr>
      <t xml:space="preserve">2 </t>
    </r>
  </si>
  <si>
    <t>Chemical Industry - Adipic Acid Production</t>
  </si>
  <si>
    <t>Chemical Industry - Petrochemical and Carbon Black Production</t>
    <phoneticPr fontId="4"/>
  </si>
  <si>
    <t>Amount of Adipic Acid Production</t>
    <phoneticPr fontId="4"/>
  </si>
  <si>
    <r>
      <t>(kg N</t>
    </r>
    <r>
      <rPr>
        <vertAlign val="subscript"/>
        <sz val="10"/>
        <rFont val="Cambria"/>
        <family val="1"/>
        <scheme val="major"/>
      </rPr>
      <t>2</t>
    </r>
    <r>
      <rPr>
        <sz val="10"/>
        <rFont val="Cambria"/>
        <family val="1"/>
        <scheme val="major"/>
      </rPr>
      <t>O/tonne adipic acid produced)</t>
    </r>
  </si>
  <si>
    <t>Metal Industry - Iron and Steel Production</t>
  </si>
  <si>
    <t>Chemical</t>
    <phoneticPr fontId="4"/>
  </si>
  <si>
    <t>Amount of Chemical Production</t>
    <phoneticPr fontId="4"/>
  </si>
  <si>
    <r>
      <t>(kg N</t>
    </r>
    <r>
      <rPr>
        <vertAlign val="subscript"/>
        <sz val="10"/>
        <rFont val="Cambria"/>
        <family val="1"/>
        <scheme val="major"/>
      </rPr>
      <t>2</t>
    </r>
    <r>
      <rPr>
        <sz val="10"/>
        <rFont val="Cambria"/>
        <family val="1"/>
        <scheme val="major"/>
      </rPr>
      <t>O/tonne chemical produced)</t>
    </r>
  </si>
  <si>
    <t>Caprolactam</t>
    <phoneticPr fontId="4"/>
  </si>
  <si>
    <t>Glyoxal</t>
  </si>
  <si>
    <t>Glyoxylic Acid</t>
    <phoneticPr fontId="4"/>
  </si>
  <si>
    <t>Total</t>
    <phoneticPr fontId="4"/>
  </si>
  <si>
    <t>Chemical Industry - Carbide Production</t>
  </si>
  <si>
    <r>
      <t>CO</t>
    </r>
    <r>
      <rPr>
        <b/>
        <vertAlign val="subscript"/>
        <sz val="10"/>
        <rFont val="Cambria"/>
        <family val="1"/>
        <scheme val="major"/>
      </rPr>
      <t>2</t>
    </r>
    <r>
      <rPr>
        <b/>
        <sz val="10"/>
        <rFont val="Cambria"/>
        <family val="1"/>
        <scheme val="major"/>
      </rPr>
      <t xml:space="preserve"> Emissions (calculation based on carbide produced)</t>
    </r>
  </si>
  <si>
    <r>
      <t>CO</t>
    </r>
    <r>
      <rPr>
        <b/>
        <vertAlign val="subscript"/>
        <sz val="10"/>
        <rFont val="Cambria"/>
        <family val="1"/>
        <scheme val="major"/>
      </rPr>
      <t>2</t>
    </r>
    <r>
      <rPr>
        <b/>
        <sz val="10"/>
        <rFont val="Cambria"/>
        <family val="1"/>
        <scheme val="major"/>
      </rPr>
      <t xml:space="preserve"> Emissions from Use of CaC</t>
    </r>
    <r>
      <rPr>
        <b/>
        <vertAlign val="subscript"/>
        <sz val="10"/>
        <rFont val="Cambria"/>
        <family val="1"/>
        <scheme val="major"/>
      </rPr>
      <t>2</t>
    </r>
    <r>
      <rPr>
        <b/>
        <sz val="10"/>
        <rFont val="Cambria"/>
        <family val="1"/>
        <scheme val="major"/>
      </rPr>
      <t xml:space="preserve"> in Acetylene Production</t>
    </r>
  </si>
  <si>
    <t>Type of Carbide Produced</t>
    <phoneticPr fontId="4"/>
  </si>
  <si>
    <t>Carbide Produced</t>
    <phoneticPr fontId="4"/>
  </si>
  <si>
    <r>
      <t>(tonne CO</t>
    </r>
    <r>
      <rPr>
        <vertAlign val="subscript"/>
        <sz val="10"/>
        <rFont val="Cambria"/>
        <family val="1"/>
        <scheme val="major"/>
      </rPr>
      <t>2</t>
    </r>
    <r>
      <rPr>
        <sz val="10"/>
        <rFont val="Cambria"/>
        <family val="1"/>
        <scheme val="major"/>
      </rPr>
      <t>/tonne carbide produced)</t>
    </r>
  </si>
  <si>
    <r>
      <t>(tonne CO</t>
    </r>
    <r>
      <rPr>
        <vertAlign val="subscript"/>
        <sz val="10"/>
        <rFont val="Cambria"/>
        <family val="1"/>
        <scheme val="major"/>
      </rPr>
      <t>2</t>
    </r>
    <r>
      <rPr>
        <sz val="10"/>
        <rFont val="Cambria"/>
        <family val="1"/>
        <scheme val="major"/>
      </rPr>
      <t>/tonne carbide used)</t>
    </r>
  </si>
  <si>
    <r>
      <t>D = C/10</t>
    </r>
    <r>
      <rPr>
        <vertAlign val="superscript"/>
        <sz val="10"/>
        <rFont val="Cambria"/>
        <family val="1"/>
        <scheme val="major"/>
      </rPr>
      <t>3</t>
    </r>
  </si>
  <si>
    <t>Silicon Carbide (SiC)</t>
    <phoneticPr fontId="4"/>
  </si>
  <si>
    <r>
      <t>Calcium Carbide (CaC</t>
    </r>
    <r>
      <rPr>
        <vertAlign val="subscript"/>
        <sz val="10"/>
        <rFont val="Cambria"/>
        <family val="1"/>
        <scheme val="major"/>
      </rPr>
      <t>2</t>
    </r>
    <r>
      <rPr>
        <sz val="10"/>
        <rFont val="Cambria"/>
        <family val="1"/>
        <scheme val="major"/>
      </rPr>
      <t>)</t>
    </r>
  </si>
  <si>
    <t>Note: Inventory compilers should use either this sheet (2 of 6) or the previous sheet (1 of 6), not both.</t>
    <phoneticPr fontId="4"/>
  </si>
  <si>
    <r>
      <t>CO</t>
    </r>
    <r>
      <rPr>
        <b/>
        <vertAlign val="subscript"/>
        <sz val="10"/>
        <rFont val="Cambria"/>
        <family val="1"/>
        <scheme val="major"/>
      </rPr>
      <t>2</t>
    </r>
    <r>
      <rPr>
        <b/>
        <sz val="10"/>
        <rFont val="Cambria"/>
        <family val="1"/>
        <scheme val="major"/>
      </rPr>
      <t xml:space="preserve"> Emissions (Total)</t>
    </r>
  </si>
  <si>
    <r>
      <t>CH</t>
    </r>
    <r>
      <rPr>
        <b/>
        <vertAlign val="subscript"/>
        <sz val="10"/>
        <rFont val="Cambria"/>
        <family val="1"/>
        <scheme val="major"/>
      </rPr>
      <t>4</t>
    </r>
    <r>
      <rPr>
        <b/>
        <sz val="10"/>
        <rFont val="Cambria"/>
        <family val="1"/>
        <scheme val="major"/>
      </rPr>
      <t xml:space="preserve"> Emissions from Silicon Carbide (SiC) Production (calculation based on carbide produced)</t>
    </r>
  </si>
  <si>
    <r>
      <t>CO</t>
    </r>
    <r>
      <rPr>
        <vertAlign val="subscript"/>
        <sz val="10"/>
        <rFont val="Cambria"/>
        <family val="1"/>
        <scheme val="major"/>
      </rPr>
      <t>2</t>
    </r>
    <r>
      <rPr>
        <sz val="10"/>
        <rFont val="Cambria"/>
        <family val="1"/>
        <scheme val="major"/>
      </rPr>
      <t xml:space="preserve"> Emissions from Silicon Carbide (SiC) Production</t>
    </r>
  </si>
  <si>
    <r>
      <t>CO</t>
    </r>
    <r>
      <rPr>
        <vertAlign val="subscript"/>
        <sz val="10"/>
        <rFont val="Cambria"/>
        <family val="1"/>
        <scheme val="major"/>
      </rPr>
      <t>2</t>
    </r>
    <r>
      <rPr>
        <sz val="10"/>
        <rFont val="Cambria"/>
        <family val="1"/>
        <scheme val="major"/>
      </rPr>
      <t xml:space="preserve"> Emissions from Calcium Carbide (CaC</t>
    </r>
    <r>
      <rPr>
        <vertAlign val="subscript"/>
        <sz val="10"/>
        <rFont val="Cambria"/>
        <family val="1"/>
        <scheme val="major"/>
      </rPr>
      <t>2</t>
    </r>
    <r>
      <rPr>
        <sz val="10"/>
        <rFont val="Cambria"/>
        <family val="1"/>
        <scheme val="major"/>
      </rPr>
      <t>) Production</t>
    </r>
  </si>
  <si>
    <r>
      <t>CO</t>
    </r>
    <r>
      <rPr>
        <vertAlign val="subscript"/>
        <sz val="10"/>
        <rFont val="Cambria"/>
        <family val="1"/>
        <scheme val="major"/>
      </rPr>
      <t>2</t>
    </r>
    <r>
      <rPr>
        <sz val="10"/>
        <rFont val="Cambria"/>
        <family val="1"/>
        <scheme val="major"/>
      </rPr>
      <t xml:space="preserve"> Emissions from Use of CaC</t>
    </r>
    <r>
      <rPr>
        <vertAlign val="subscript"/>
        <sz val="10"/>
        <rFont val="Cambria"/>
        <family val="1"/>
        <scheme val="major"/>
      </rPr>
      <t>2</t>
    </r>
    <r>
      <rPr>
        <sz val="10"/>
        <rFont val="Cambria"/>
        <family val="1"/>
        <scheme val="major"/>
      </rPr>
      <t xml:space="preserve"> in Acetylene Production</t>
    </r>
  </si>
  <si>
    <r>
      <t>Total CO</t>
    </r>
    <r>
      <rPr>
        <vertAlign val="subscript"/>
        <sz val="10"/>
        <rFont val="Cambria"/>
        <family val="1"/>
        <scheme val="major"/>
      </rPr>
      <t>2</t>
    </r>
    <r>
      <rPr>
        <sz val="10"/>
        <rFont val="Cambria"/>
        <family val="1"/>
        <scheme val="major"/>
      </rPr>
      <t xml:space="preserve"> Emissions</t>
    </r>
  </si>
  <si>
    <r>
      <t>CH</t>
    </r>
    <r>
      <rPr>
        <vertAlign val="subscript"/>
        <sz val="10"/>
        <rFont val="Cambria"/>
        <family val="1"/>
        <scheme val="major"/>
      </rPr>
      <t>4</t>
    </r>
    <r>
      <rPr>
        <sz val="10"/>
        <rFont val="Cambria"/>
        <family val="1"/>
        <scheme val="major"/>
      </rPr>
      <t xml:space="preserve"> Emissions</t>
    </r>
  </si>
  <si>
    <r>
      <t>(kg CH</t>
    </r>
    <r>
      <rPr>
        <vertAlign val="subscript"/>
        <sz val="10"/>
        <rFont val="Cambria"/>
        <family val="1"/>
        <scheme val="major"/>
      </rPr>
      <t>4</t>
    </r>
    <r>
      <rPr>
        <sz val="10"/>
        <rFont val="Cambria"/>
        <family val="1"/>
        <scheme val="major"/>
      </rPr>
      <t>/tonne carbide produced)</t>
    </r>
  </si>
  <si>
    <t>(Gg)</t>
  </si>
  <si>
    <t>D = A + B + C</t>
    <phoneticPr fontId="4"/>
  </si>
  <si>
    <t>Note: Inventory compilers should use either this sheet (6 of 6) or the previous sheet (5 of 6), not both.</t>
    <phoneticPr fontId="4"/>
  </si>
  <si>
    <t>Chemical Industry - Titanium Dioxide Production</t>
  </si>
  <si>
    <t>Type of production</t>
    <phoneticPr fontId="4"/>
  </si>
  <si>
    <t>Amount of Production</t>
    <phoneticPr fontId="4"/>
  </si>
  <si>
    <r>
      <t>(tonne CO</t>
    </r>
    <r>
      <rPr>
        <vertAlign val="subscript"/>
        <sz val="10"/>
        <rFont val="Cambria"/>
        <family val="1"/>
        <scheme val="major"/>
      </rPr>
      <t>2</t>
    </r>
    <r>
      <rPr>
        <sz val="10"/>
        <rFont val="Cambria"/>
        <family val="1"/>
        <scheme val="major"/>
      </rPr>
      <t>/tonne produced)</t>
    </r>
  </si>
  <si>
    <t>Titanium Slag</t>
    <phoneticPr fontId="4"/>
  </si>
  <si>
    <t>Synthetic Rutile</t>
    <phoneticPr fontId="4"/>
  </si>
  <si>
    <r>
      <t>Rutile TiO</t>
    </r>
    <r>
      <rPr>
        <vertAlign val="subscript"/>
        <sz val="10"/>
        <rFont val="Cambria"/>
        <family val="1"/>
        <scheme val="major"/>
      </rPr>
      <t>2</t>
    </r>
  </si>
  <si>
    <t>Chemical Industry - Soda Ash Production</t>
  </si>
  <si>
    <t>Amount of Natural Soda Ash Produced</t>
    <phoneticPr fontId="4"/>
  </si>
  <si>
    <r>
      <t>(tonne CO</t>
    </r>
    <r>
      <rPr>
        <vertAlign val="subscript"/>
        <sz val="10"/>
        <rFont val="Cambria"/>
        <family val="1"/>
        <scheme val="major"/>
      </rPr>
      <t>2</t>
    </r>
    <r>
      <rPr>
        <sz val="10"/>
        <rFont val="Cambria"/>
        <family val="1"/>
        <scheme val="major"/>
      </rPr>
      <t>/tonne natural soda ash produced)</t>
    </r>
  </si>
  <si>
    <t>Note: Inventory compilers should use either this sheet (2 of 2) or the previous sheet (1 of 2), not both.</t>
    <phoneticPr fontId="4"/>
  </si>
  <si>
    <r>
      <t>CO</t>
    </r>
    <r>
      <rPr>
        <b/>
        <vertAlign val="subscript"/>
        <sz val="10"/>
        <rFont val="Cambria"/>
        <family val="1"/>
        <scheme val="major"/>
      </rPr>
      <t>2</t>
    </r>
    <r>
      <rPr>
        <b/>
        <sz val="10"/>
        <rFont val="Cambria"/>
        <family val="1"/>
        <scheme val="major"/>
      </rPr>
      <t xml:space="preserve"> Emissions from Methanol Production</t>
    </r>
  </si>
  <si>
    <r>
      <t>CH</t>
    </r>
    <r>
      <rPr>
        <b/>
        <vertAlign val="subscript"/>
        <sz val="10"/>
        <rFont val="Cambria"/>
        <family val="1"/>
        <scheme val="major"/>
      </rPr>
      <t>4</t>
    </r>
    <r>
      <rPr>
        <b/>
        <sz val="10"/>
        <rFont val="Cambria"/>
        <family val="1"/>
        <scheme val="major"/>
      </rPr>
      <t xml:space="preserve"> Emissions from Methanol Production</t>
    </r>
  </si>
  <si>
    <r>
      <t>Type of Process/Type of Feedstock</t>
    </r>
    <r>
      <rPr>
        <vertAlign val="superscript"/>
        <sz val="10"/>
        <rFont val="Cambria"/>
        <family val="1"/>
        <scheme val="major"/>
      </rPr>
      <t xml:space="preserve"> 1), 2)</t>
    </r>
  </si>
  <si>
    <t>Amount of Methanol Produced</t>
    <phoneticPr fontId="4"/>
  </si>
  <si>
    <r>
      <t>(tonne CO</t>
    </r>
    <r>
      <rPr>
        <vertAlign val="subscript"/>
        <sz val="10"/>
        <rFont val="Cambria"/>
        <family val="1"/>
        <scheme val="major"/>
      </rPr>
      <t>2</t>
    </r>
    <r>
      <rPr>
        <sz val="10"/>
        <rFont val="Cambria"/>
        <family val="1"/>
        <scheme val="major"/>
      </rPr>
      <t>/tonne methanol produced)</t>
    </r>
  </si>
  <si>
    <r>
      <t>(kg CH</t>
    </r>
    <r>
      <rPr>
        <vertAlign val="subscript"/>
        <sz val="10"/>
        <rFont val="Cambria"/>
        <family val="1"/>
        <scheme val="major"/>
      </rPr>
      <t>4</t>
    </r>
    <r>
      <rPr>
        <sz val="10"/>
        <rFont val="Cambria"/>
        <family val="1"/>
        <scheme val="major"/>
      </rPr>
      <t>/tonne methanol produced)</t>
    </r>
  </si>
  <si>
    <t>1) For details of process types and feedstock types, see Table 3.12 in Chapter 3 of Volume 3. For the default
    process type and the default feedstock,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</si>
  <si>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Ethylene Production</t>
    </r>
  </si>
  <si>
    <r>
      <t>CH</t>
    </r>
    <r>
      <rPr>
        <b/>
        <vertAlign val="subscript"/>
        <sz val="10"/>
        <rFont val="Cambria"/>
        <family val="1"/>
        <scheme val="major"/>
      </rPr>
      <t>4</t>
    </r>
    <r>
      <rPr>
        <b/>
        <sz val="10"/>
        <rFont val="Cambria"/>
        <family val="1"/>
        <scheme val="major"/>
      </rPr>
      <t xml:space="preserve"> Emissions from Ethylene Production</t>
    </r>
  </si>
  <si>
    <r>
      <t>Type of Feedstock</t>
    </r>
    <r>
      <rPr>
        <vertAlign val="superscript"/>
        <sz val="10"/>
        <rFont val="Cambria"/>
        <family val="1"/>
        <scheme val="major"/>
      </rPr>
      <t xml:space="preserve"> 1), 2)</t>
    </r>
    <r>
      <rPr>
        <sz val="10"/>
        <rFont val="Cambria"/>
        <family val="1"/>
        <scheme val="major"/>
      </rPr>
      <t xml:space="preserve">  (please specify)</t>
    </r>
  </si>
  <si>
    <t>Amount of Ethylene Produced</t>
    <phoneticPr fontId="4"/>
  </si>
  <si>
    <r>
      <t>Geographic Adjustment Factor</t>
    </r>
    <r>
      <rPr>
        <vertAlign val="superscript"/>
        <sz val="10"/>
        <rFont val="Cambria"/>
        <family val="1"/>
        <scheme val="major"/>
      </rPr>
      <t xml:space="preserve"> 3)</t>
    </r>
  </si>
  <si>
    <r>
      <t>(tonne CO</t>
    </r>
    <r>
      <rPr>
        <vertAlign val="subscript"/>
        <sz val="10"/>
        <rFont val="Cambria"/>
        <family val="1"/>
        <scheme val="major"/>
      </rPr>
      <t>2</t>
    </r>
    <r>
      <rPr>
        <sz val="10"/>
        <rFont val="Cambria"/>
        <family val="1"/>
        <scheme val="major"/>
      </rPr>
      <t>/tonne ethylene produced)</t>
    </r>
  </si>
  <si>
    <t>(%)</t>
    <phoneticPr fontId="4"/>
  </si>
  <si>
    <r>
      <t>(kg CH</t>
    </r>
    <r>
      <rPr>
        <vertAlign val="subscript"/>
        <sz val="10"/>
        <rFont val="Cambria"/>
        <family val="1"/>
        <scheme val="major"/>
      </rPr>
      <t>4</t>
    </r>
    <r>
      <rPr>
        <sz val="10"/>
        <rFont val="Cambria"/>
        <family val="1"/>
        <scheme val="major"/>
      </rPr>
      <t>/tonne ethylene produced)</t>
    </r>
  </si>
  <si>
    <t>D = A * B * C/100</t>
    <phoneticPr fontId="4"/>
  </si>
  <si>
    <r>
      <t>E = D/10</t>
    </r>
    <r>
      <rPr>
        <vertAlign val="superscript"/>
        <sz val="10"/>
        <rFont val="Cambria"/>
        <family val="1"/>
        <scheme val="major"/>
      </rPr>
      <t>3</t>
    </r>
  </si>
  <si>
    <t>1) For details of feedstock types, see Table 3.14 in Chapter 3 of Volume 3. For the default feedstock, see Table 3.11 in Chapter 3 of Volume 3.
2) Insert additional rows if necessary.
3) For geographic adjustment factors, see Table 3.15 in Volume 3.</t>
    <phoneticPr fontId="4"/>
  </si>
  <si>
    <t>1) For details of feedstock types, see Table 3.14 in Chapter 3 of Volume 3. For the default feedstock,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</si>
  <si>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Ethylene Dichloride/Vinyl Chloride Monomer Production</t>
    </r>
  </si>
  <si>
    <r>
      <t>CH</t>
    </r>
    <r>
      <rPr>
        <b/>
        <vertAlign val="subscript"/>
        <sz val="10"/>
        <rFont val="Cambria"/>
        <family val="1"/>
        <scheme val="major"/>
      </rPr>
      <t>4</t>
    </r>
    <r>
      <rPr>
        <b/>
        <sz val="10"/>
        <rFont val="Cambria"/>
        <family val="1"/>
        <scheme val="major"/>
      </rPr>
      <t xml:space="preserve"> Emissions from Ethylene Dichloride/Vinyl Chloride Monomer Production</t>
    </r>
  </si>
  <si>
    <r>
      <t>Type of Process</t>
    </r>
    <r>
      <rPr>
        <vertAlign val="superscript"/>
        <sz val="10"/>
        <rFont val="Cambria"/>
        <family val="1"/>
        <scheme val="major"/>
      </rPr>
      <t xml:space="preserve"> 1), 2)</t>
    </r>
    <r>
      <rPr>
        <sz val="10"/>
        <rFont val="Cambria"/>
        <family val="1"/>
        <scheme val="major"/>
      </rPr>
      <t xml:space="preserve">  (please specify)</t>
    </r>
  </si>
  <si>
    <r>
      <t>Amount of Ethylene Dichloride (EDC) or Vinyl Chloride Monomer (VCM) Produced</t>
    </r>
    <r>
      <rPr>
        <vertAlign val="superscript"/>
        <sz val="10"/>
        <rFont val="Cambria"/>
        <family val="1"/>
        <scheme val="major"/>
      </rPr>
      <t xml:space="preserve"> 3)</t>
    </r>
  </si>
  <si>
    <t>(tonne EDC produced) or (tonne VCM produced)</t>
    <phoneticPr fontId="4"/>
  </si>
  <si>
    <r>
      <t>(tonne CO</t>
    </r>
    <r>
      <rPr>
        <vertAlign val="subscript"/>
        <sz val="10"/>
        <rFont val="Cambria"/>
        <family val="1"/>
        <scheme val="major"/>
      </rPr>
      <t>2</t>
    </r>
    <r>
      <rPr>
        <sz val="10"/>
        <rFont val="Cambria"/>
        <family val="1"/>
        <scheme val="major"/>
      </rPr>
      <t>/tonne EDC produced) or (tonne CO</t>
    </r>
    <r>
      <rPr>
        <vertAlign val="subscript"/>
        <sz val="10"/>
        <rFont val="Cambria"/>
        <family val="1"/>
        <scheme val="major"/>
      </rPr>
      <t>2</t>
    </r>
    <r>
      <rPr>
        <sz val="10"/>
        <rFont val="Cambria"/>
        <family val="1"/>
        <scheme val="major"/>
      </rPr>
      <t>/tonne VCM produced)</t>
    </r>
  </si>
  <si>
    <r>
      <t>(kg CH</t>
    </r>
    <r>
      <rPr>
        <vertAlign val="subscript"/>
        <sz val="10"/>
        <rFont val="Cambria"/>
        <family val="1"/>
        <scheme val="major"/>
      </rPr>
      <t>4</t>
    </r>
    <r>
      <rPr>
        <sz val="10"/>
        <rFont val="Cambria"/>
        <family val="1"/>
        <scheme val="major"/>
      </rPr>
      <t>/tonne EDC produced) or (kg CH</t>
    </r>
    <r>
      <rPr>
        <vertAlign val="subscript"/>
        <sz val="10"/>
        <rFont val="Cambria"/>
        <family val="1"/>
        <scheme val="major"/>
      </rPr>
      <t>4</t>
    </r>
    <r>
      <rPr>
        <sz val="10"/>
        <rFont val="Cambria"/>
        <family val="1"/>
        <scheme val="major"/>
      </rPr>
      <t>/tonne VCM produced)</t>
    </r>
  </si>
  <si>
    <t>1) For details of process types, see Table 3.17 in Chapter 3 of Volume 3. For the default process type, see Table 3.11 in Chapter 3 of Volume 3.
2) Insert additional rows if necessary.
3) Inventory compilers should use either EDC production or VCM production (not both) as activity data.</t>
  </si>
  <si>
    <t>1) For details of process types, see Tables 3.11 and 3.19 in Chapter 3 of Volume 3. For the default process type, see Table 3.11 in Chapter 3 of Volume 3.
2) Insert additional rows if necessary.
3) Inventory compilers should use either EDC production or VCM production (not both) as activity data.</t>
  </si>
  <si>
    <r>
      <t>CO</t>
    </r>
    <r>
      <rPr>
        <b/>
        <vertAlign val="subscript"/>
        <sz val="10"/>
        <rFont val="Cambria"/>
        <family val="1"/>
        <scheme val="major"/>
      </rPr>
      <t>2</t>
    </r>
    <r>
      <rPr>
        <b/>
        <sz val="10"/>
        <rFont val="Cambria"/>
        <family val="1"/>
        <scheme val="major"/>
      </rPr>
      <t xml:space="preserve"> Emissions from Ethylene Oxide Production</t>
    </r>
  </si>
  <si>
    <r>
      <t>CH</t>
    </r>
    <r>
      <rPr>
        <b/>
        <vertAlign val="subscript"/>
        <sz val="10"/>
        <rFont val="Cambria"/>
        <family val="1"/>
        <scheme val="major"/>
      </rPr>
      <t>4</t>
    </r>
    <r>
      <rPr>
        <b/>
        <sz val="10"/>
        <rFont val="Cambria"/>
        <family val="1"/>
        <scheme val="major"/>
      </rPr>
      <t xml:space="preserve"> Emissions from Ethylene Oxide Production</t>
    </r>
  </si>
  <si>
    <t>Amount of Ethylene Oxide Produced</t>
    <phoneticPr fontId="4"/>
  </si>
  <si>
    <t>(tonne ethylene oxide produced)</t>
    <phoneticPr fontId="4"/>
  </si>
  <si>
    <r>
      <t>(tonne CO</t>
    </r>
    <r>
      <rPr>
        <vertAlign val="subscript"/>
        <sz val="10"/>
        <rFont val="Cambria"/>
        <family val="1"/>
        <scheme val="major"/>
      </rPr>
      <t>2</t>
    </r>
    <r>
      <rPr>
        <sz val="10"/>
        <rFont val="Cambria"/>
        <family val="1"/>
        <scheme val="major"/>
      </rPr>
      <t>/tonne ethylene oxide produced)</t>
    </r>
  </si>
  <si>
    <r>
      <t>(kg CH</t>
    </r>
    <r>
      <rPr>
        <vertAlign val="subscript"/>
        <sz val="10"/>
        <rFont val="Cambria"/>
        <family val="1"/>
        <scheme val="major"/>
      </rPr>
      <t>4</t>
    </r>
    <r>
      <rPr>
        <sz val="10"/>
        <rFont val="Cambria"/>
        <family val="1"/>
        <scheme val="major"/>
      </rPr>
      <t>/tonne ethylene oxide produced)</t>
    </r>
  </si>
  <si>
    <t>1) For details of process types, see Table 3.20 in Chapter 3 of Volume 3. For the default process type, 
    see Table 3.11 in Chapter 3 of Volume 3.
2) Insert additional rows if necessary.</t>
    <phoneticPr fontId="4"/>
  </si>
  <si>
    <t>1) For details of process types, see Table 3.21 in Chapter 3 of Volume 3. For the default process type, 
    see Table 3.11 in Chapter 3 of Volume 3.
2) Insert additional rows if necessary.</t>
    <phoneticPr fontId="4"/>
  </si>
  <si>
    <t>Chemical Industry - Petrochemical and Carbon Black Production</t>
  </si>
  <si>
    <r>
      <t>CO</t>
    </r>
    <r>
      <rPr>
        <b/>
        <vertAlign val="subscript"/>
        <sz val="10"/>
        <rFont val="Cambria"/>
        <family val="1"/>
        <scheme val="major"/>
      </rPr>
      <t>2</t>
    </r>
    <r>
      <rPr>
        <b/>
        <sz val="10"/>
        <rFont val="Cambria"/>
        <family val="1"/>
        <scheme val="major"/>
      </rPr>
      <t xml:space="preserve"> Emissions from Acrylonitrile Production</t>
    </r>
  </si>
  <si>
    <r>
      <t>CH</t>
    </r>
    <r>
      <rPr>
        <b/>
        <vertAlign val="subscript"/>
        <sz val="10"/>
        <rFont val="Cambria"/>
        <family val="1"/>
        <scheme val="major"/>
      </rPr>
      <t>4</t>
    </r>
    <r>
      <rPr>
        <b/>
        <sz val="10"/>
        <rFont val="Cambria"/>
        <family val="1"/>
        <scheme val="major"/>
      </rPr>
      <t xml:space="preserve"> Emissions from Acrylonitrile Production</t>
    </r>
  </si>
  <si>
    <t>Amount of Acrylonitrile Produced</t>
    <phoneticPr fontId="4"/>
  </si>
  <si>
    <t>(tonne acrylonitrile produced)</t>
    <phoneticPr fontId="4"/>
  </si>
  <si>
    <r>
      <t>(tonne CO</t>
    </r>
    <r>
      <rPr>
        <vertAlign val="subscript"/>
        <sz val="10"/>
        <rFont val="Cambria"/>
        <family val="1"/>
        <scheme val="major"/>
      </rPr>
      <t>2</t>
    </r>
    <r>
      <rPr>
        <sz val="10"/>
        <rFont val="Cambria"/>
        <family val="1"/>
        <scheme val="major"/>
      </rPr>
      <t>/tonne acrylonitrile produced)</t>
    </r>
  </si>
  <si>
    <r>
      <t>(kg CH</t>
    </r>
    <r>
      <rPr>
        <vertAlign val="subscript"/>
        <sz val="10"/>
        <rFont val="Cambria"/>
        <family val="1"/>
        <scheme val="major"/>
      </rPr>
      <t>4</t>
    </r>
    <r>
      <rPr>
        <sz val="10"/>
        <rFont val="Cambria"/>
        <family val="1"/>
        <scheme val="major"/>
      </rPr>
      <t>/tonne acrylonitrile produced)</t>
    </r>
  </si>
  <si>
    <t>1) For details of process types, see Table 3.22 in Chapter 3 of Volume 3. For the default process type,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</si>
  <si>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Carbon Black Production</t>
    </r>
  </si>
  <si>
    <r>
      <t>CH</t>
    </r>
    <r>
      <rPr>
        <b/>
        <vertAlign val="subscript"/>
        <sz val="10"/>
        <rFont val="Cambria"/>
        <family val="1"/>
        <scheme val="major"/>
      </rPr>
      <t>4</t>
    </r>
    <r>
      <rPr>
        <b/>
        <sz val="10"/>
        <rFont val="Cambria"/>
        <family val="1"/>
        <scheme val="major"/>
      </rPr>
      <t xml:space="preserve"> Emissions from Carbon Black Production</t>
    </r>
  </si>
  <si>
    <t>Amount of Carbon Black Produced</t>
    <phoneticPr fontId="4"/>
  </si>
  <si>
    <t>(tonne carbon black produced)</t>
    <phoneticPr fontId="4"/>
  </si>
  <si>
    <r>
      <t>(tonne CO</t>
    </r>
    <r>
      <rPr>
        <vertAlign val="subscript"/>
        <sz val="10"/>
        <rFont val="Cambria"/>
        <family val="1"/>
        <scheme val="major"/>
      </rPr>
      <t>2</t>
    </r>
    <r>
      <rPr>
        <sz val="10"/>
        <rFont val="Cambria"/>
        <family val="1"/>
        <scheme val="major"/>
      </rPr>
      <t>/tonne carbon black produced)</t>
    </r>
  </si>
  <si>
    <r>
      <t>(kg CH</t>
    </r>
    <r>
      <rPr>
        <vertAlign val="subscript"/>
        <sz val="10"/>
        <rFont val="Cambria"/>
        <family val="1"/>
        <scheme val="major"/>
      </rPr>
      <t>4</t>
    </r>
    <r>
      <rPr>
        <sz val="10"/>
        <rFont val="Cambria"/>
        <family val="1"/>
        <scheme val="major"/>
      </rPr>
      <t>/tonne carbon black produced)</t>
    </r>
  </si>
  <si>
    <t>1) For details of process types, see Table 3.23 in Chapter 3 of Volume 3. For the default process type, 
    see Table 3.11 in Chapter 3 of Volume 3.
2) Insert additional rows if necessary.</t>
    <phoneticPr fontId="4"/>
  </si>
  <si>
    <t>1) For details of process types, see Table 3.24 in Chapter 3 of Volume 3. For the default process type, 
    see Table 3.11 in Chapter 3 of Volume 3.
2) Insert additional rows if necessary.</t>
    <phoneticPr fontId="4"/>
  </si>
  <si>
    <t>Metal Industry - Magnesium Production</t>
  </si>
  <si>
    <r>
      <t>CO</t>
    </r>
    <r>
      <rPr>
        <b/>
        <vertAlign val="subscript"/>
        <sz val="10"/>
        <rFont val="Cambria"/>
        <family val="1"/>
        <scheme val="major"/>
      </rPr>
      <t>2</t>
    </r>
    <r>
      <rPr>
        <b/>
        <sz val="10"/>
        <rFont val="Cambria"/>
        <family val="1"/>
        <scheme val="major"/>
      </rPr>
      <t xml:space="preserve"> Emissions from Primary Production</t>
    </r>
  </si>
  <si>
    <r>
      <t>SF</t>
    </r>
    <r>
      <rPr>
        <b/>
        <vertAlign val="subscript"/>
        <sz val="10"/>
        <rFont val="Cambria"/>
        <family val="1"/>
        <scheme val="major"/>
      </rPr>
      <t>6</t>
    </r>
    <r>
      <rPr>
        <b/>
        <sz val="10"/>
        <rFont val="Cambria"/>
        <family val="1"/>
        <scheme val="major"/>
      </rPr>
      <t xml:space="preserve"> Emissions from Magnesium Casting Processes</t>
    </r>
  </si>
  <si>
    <t>Raw Material Source</t>
    <phoneticPr fontId="4"/>
  </si>
  <si>
    <t>Amount of Primary Magnesium Production</t>
    <phoneticPr fontId="4"/>
  </si>
  <si>
    <t>Amount of Magnesium Casting</t>
    <phoneticPr fontId="4"/>
  </si>
  <si>
    <r>
      <t>SF</t>
    </r>
    <r>
      <rPr>
        <vertAlign val="subscript"/>
        <sz val="10"/>
        <rFont val="Cambria"/>
        <family val="1"/>
        <scheme val="major"/>
      </rPr>
      <t>6</t>
    </r>
    <r>
      <rPr>
        <sz val="10"/>
        <rFont val="Cambria"/>
        <family val="1"/>
        <scheme val="major"/>
      </rPr>
      <t xml:space="preserve"> Emissions</t>
    </r>
  </si>
  <si>
    <t>(tonne primary magnesium produced)</t>
    <phoneticPr fontId="4"/>
  </si>
  <si>
    <r>
      <t>(tonne CO</t>
    </r>
    <r>
      <rPr>
        <vertAlign val="subscript"/>
        <sz val="10"/>
        <rFont val="Cambria"/>
        <family val="1"/>
        <scheme val="major"/>
      </rPr>
      <t>2</t>
    </r>
    <r>
      <rPr>
        <sz val="10"/>
        <rFont val="Cambria"/>
        <family val="1"/>
        <scheme val="major"/>
      </rPr>
      <t>/tonne primary magnesium produced)</t>
    </r>
  </si>
  <si>
    <t>(tonne magnesium casting)</t>
    <phoneticPr fontId="4"/>
  </si>
  <si>
    <r>
      <t>(kg SF</t>
    </r>
    <r>
      <rPr>
        <vertAlign val="subscript"/>
        <sz val="10"/>
        <rFont val="Cambria"/>
        <family val="1"/>
        <scheme val="major"/>
      </rPr>
      <t>6</t>
    </r>
    <r>
      <rPr>
        <sz val="10"/>
        <rFont val="Cambria"/>
        <family val="1"/>
        <scheme val="major"/>
      </rPr>
      <t>/tonne magnesium casting)</t>
    </r>
  </si>
  <si>
    <t>Dolomite</t>
    <phoneticPr fontId="4"/>
  </si>
  <si>
    <t>Magnesite</t>
    <phoneticPr fontId="4"/>
  </si>
  <si>
    <t>Note: As regards HFC 134-a, FK 5-1-12 and their decomposition products (e.g., PFCs), no Tier 1 method is provided
because the industrial experience in using these compounds (HFC 134-a and FK 5-1-12) for magnesium protection
purposes is yet very limited. However, if the greenhouse gas emission from the use of magnesium cover gases is a
national key category, it is good practice, for inventory preparation purposes, to collect direct measurements of these
greenhouse gas emissions.</t>
    <phoneticPr fontId="4"/>
  </si>
  <si>
    <r>
      <t>CO</t>
    </r>
    <r>
      <rPr>
        <b/>
        <vertAlign val="subscript"/>
        <sz val="10"/>
        <rFont val="Cambria"/>
        <family val="1"/>
        <scheme val="major"/>
      </rPr>
      <t>2</t>
    </r>
    <r>
      <rPr>
        <b/>
        <sz val="10"/>
        <rFont val="Cambria"/>
        <family val="1"/>
        <scheme val="major"/>
      </rPr>
      <t xml:space="preserve"> Emissions</t>
    </r>
  </si>
  <si>
    <r>
      <t>CH</t>
    </r>
    <r>
      <rPr>
        <b/>
        <vertAlign val="subscript"/>
        <sz val="10"/>
        <rFont val="Cambria"/>
        <family val="1"/>
        <scheme val="major"/>
      </rPr>
      <t>4</t>
    </r>
    <r>
      <rPr>
        <b/>
        <sz val="10"/>
        <rFont val="Cambria"/>
        <family val="1"/>
        <scheme val="major"/>
      </rPr>
      <t xml:space="preserve"> Emissions</t>
    </r>
  </si>
  <si>
    <t>Type of Steelmaking Method, etc</t>
    <phoneticPr fontId="4"/>
  </si>
  <si>
    <t>Amount of Steel or Iron Production</t>
    <phoneticPr fontId="4"/>
  </si>
  <si>
    <t>Type of Production</t>
    <phoneticPr fontId="4"/>
  </si>
  <si>
    <t>(tonne crude steel produced, pig iron, DRI, sinter or pellet)</t>
    <phoneticPr fontId="4"/>
  </si>
  <si>
    <r>
      <t>(tonne CO</t>
    </r>
    <r>
      <rPr>
        <vertAlign val="subscript"/>
        <sz val="10"/>
        <rFont val="Cambria"/>
        <family val="1"/>
        <scheme val="major"/>
      </rPr>
      <t>2</t>
    </r>
    <r>
      <rPr>
        <sz val="10"/>
        <rFont val="Cambria"/>
        <family val="1"/>
        <scheme val="major"/>
      </rPr>
      <t>/tonne production)</t>
    </r>
  </si>
  <si>
    <t>(tonne sinter, DRI or pig iron)</t>
    <phoneticPr fontId="4"/>
  </si>
  <si>
    <r>
      <t>(kg CH</t>
    </r>
    <r>
      <rPr>
        <vertAlign val="subscript"/>
        <sz val="10"/>
        <rFont val="Cambria"/>
        <family val="1"/>
        <scheme val="major"/>
      </rPr>
      <t>4</t>
    </r>
    <r>
      <rPr>
        <sz val="10"/>
        <rFont val="Cambria"/>
        <family val="1"/>
        <scheme val="major"/>
      </rPr>
      <t>/tonne production)</t>
    </r>
  </si>
  <si>
    <t>Basic Oxygen Furnace</t>
  </si>
  <si>
    <t>Sinter Production</t>
  </si>
  <si>
    <t>Electric Arc Furnace</t>
  </si>
  <si>
    <t>Direct Reduced Iron (DRI) Production</t>
  </si>
  <si>
    <t>Open Hearth Furnace</t>
  </si>
  <si>
    <t>Pig Iron Production</t>
    <phoneticPr fontId="4"/>
  </si>
  <si>
    <t>Pig Iron Production (not converted into steel)</t>
  </si>
  <si>
    <t>TOTAL</t>
    <phoneticPr fontId="4"/>
  </si>
  <si>
    <t>Pellet Production</t>
  </si>
  <si>
    <t>Metal Industry - Ferroalloys Production</t>
  </si>
  <si>
    <r>
      <t>Type of Ferroalloy</t>
    </r>
    <r>
      <rPr>
        <vertAlign val="superscript"/>
        <sz val="10"/>
        <rFont val="Cambria"/>
        <family val="1"/>
        <scheme val="major"/>
      </rPr>
      <t xml:space="preserve"> 1), 2)</t>
    </r>
  </si>
  <si>
    <t>Amount of Ferroalloy Production</t>
    <phoneticPr fontId="4"/>
  </si>
  <si>
    <t>(please specify)</t>
    <phoneticPr fontId="4"/>
  </si>
  <si>
    <t>(tonne ferroalloy produced)</t>
    <phoneticPr fontId="4"/>
  </si>
  <si>
    <r>
      <t>(tonne CO</t>
    </r>
    <r>
      <rPr>
        <vertAlign val="subscript"/>
        <sz val="10"/>
        <rFont val="Cambria"/>
        <family val="1"/>
        <scheme val="major"/>
      </rPr>
      <t>2</t>
    </r>
    <r>
      <rPr>
        <sz val="10"/>
        <rFont val="Cambria"/>
        <family val="1"/>
        <scheme val="major"/>
      </rPr>
      <t>/tonne ferroalloy produced)</t>
    </r>
  </si>
  <si>
    <r>
      <t>(kg CH</t>
    </r>
    <r>
      <rPr>
        <vertAlign val="subscript"/>
        <sz val="10"/>
        <rFont val="Cambria"/>
        <family val="1"/>
        <scheme val="major"/>
      </rPr>
      <t>4</t>
    </r>
    <r>
      <rPr>
        <sz val="10"/>
        <rFont val="Cambria"/>
        <family val="1"/>
        <scheme val="major"/>
      </rPr>
      <t>/tonne ferroalloy produced)</t>
    </r>
  </si>
  <si>
    <t>1) For details of ferroalloy types, see Table 4.5 in Chapter 4 of Volume 3.
2) Insert additional rows if necessary.</t>
    <phoneticPr fontId="4"/>
  </si>
  <si>
    <t>1) For details of ferroalloy types, see Table 4.7 in Chapter 4 of Volume 3.
2) Insert additional rows if necessary.</t>
    <phoneticPr fontId="4"/>
  </si>
  <si>
    <t>Metal Industry - Aluminium Production</t>
  </si>
  <si>
    <t>Type of Technology</t>
    <phoneticPr fontId="4"/>
  </si>
  <si>
    <t>Amount of Aluminium Production</t>
    <phoneticPr fontId="4"/>
  </si>
  <si>
    <t>(tonne aluminium produced)</t>
    <phoneticPr fontId="4"/>
  </si>
  <si>
    <r>
      <t>(tonne CO</t>
    </r>
    <r>
      <rPr>
        <vertAlign val="subscript"/>
        <sz val="10"/>
        <rFont val="Cambria"/>
        <family val="1"/>
        <scheme val="major"/>
      </rPr>
      <t>2</t>
    </r>
    <r>
      <rPr>
        <sz val="10"/>
        <rFont val="Cambria"/>
        <family val="1"/>
        <scheme val="major"/>
      </rPr>
      <t>/tonne aluminium produced)</t>
    </r>
  </si>
  <si>
    <t>Soderberg</t>
    <phoneticPr fontId="4"/>
  </si>
  <si>
    <r>
      <t>CF</t>
    </r>
    <r>
      <rPr>
        <b/>
        <vertAlign val="subscript"/>
        <sz val="10"/>
        <rFont val="Cambria"/>
        <family val="1"/>
        <scheme val="major"/>
      </rPr>
      <t>4</t>
    </r>
    <r>
      <rPr>
        <b/>
        <sz val="10"/>
        <rFont val="Cambria"/>
        <family val="1"/>
        <scheme val="major"/>
      </rPr>
      <t xml:space="preserve"> Emissions</t>
    </r>
  </si>
  <si>
    <r>
      <t>C</t>
    </r>
    <r>
      <rPr>
        <b/>
        <vertAlign val="subscript"/>
        <sz val="10"/>
        <rFont val="Cambria"/>
        <family val="1"/>
        <scheme val="major"/>
      </rPr>
      <t>2</t>
    </r>
    <r>
      <rPr>
        <b/>
        <sz val="10"/>
        <rFont val="Cambria"/>
        <family val="1"/>
        <scheme val="major"/>
      </rPr>
      <t>F</t>
    </r>
    <r>
      <rPr>
        <b/>
        <vertAlign val="subscript"/>
        <sz val="10"/>
        <rFont val="Cambria"/>
        <family val="1"/>
        <scheme val="major"/>
      </rPr>
      <t>6</t>
    </r>
    <r>
      <rPr>
        <b/>
        <sz val="10"/>
        <rFont val="Cambria"/>
        <family val="1"/>
        <scheme val="major"/>
      </rPr>
      <t xml:space="preserve"> Emissions</t>
    </r>
  </si>
  <si>
    <r>
      <t>CF</t>
    </r>
    <r>
      <rPr>
        <vertAlign val="subscript"/>
        <sz val="10"/>
        <rFont val="Cambria"/>
        <family val="1"/>
        <scheme val="major"/>
      </rPr>
      <t>4</t>
    </r>
    <r>
      <rPr>
        <sz val="10"/>
        <rFont val="Cambria"/>
        <family val="1"/>
        <scheme val="major"/>
      </rPr>
      <t xml:space="preserve"> Emissions</t>
    </r>
  </si>
  <si>
    <r>
      <t>C</t>
    </r>
    <r>
      <rPr>
        <vertAlign val="subscript"/>
        <sz val="10"/>
        <rFont val="Cambria"/>
        <family val="1"/>
        <scheme val="major"/>
      </rPr>
      <t>2</t>
    </r>
    <r>
      <rPr>
        <sz val="10"/>
        <rFont val="Cambria"/>
        <family val="1"/>
        <scheme val="major"/>
      </rPr>
      <t>F</t>
    </r>
    <r>
      <rPr>
        <vertAlign val="subscript"/>
        <sz val="10"/>
        <rFont val="Cambria"/>
        <family val="1"/>
        <scheme val="major"/>
      </rPr>
      <t>6</t>
    </r>
    <r>
      <rPr>
        <sz val="10"/>
        <rFont val="Cambria"/>
        <family val="1"/>
        <scheme val="major"/>
      </rPr>
      <t xml:space="preserve"> Emissions</t>
    </r>
  </si>
  <si>
    <r>
      <t>(kg CF</t>
    </r>
    <r>
      <rPr>
        <vertAlign val="subscript"/>
        <sz val="10"/>
        <rFont val="Cambria"/>
        <family val="1"/>
        <scheme val="major"/>
      </rPr>
      <t>4</t>
    </r>
    <r>
      <rPr>
        <sz val="10"/>
        <rFont val="Cambria"/>
        <family val="1"/>
        <scheme val="major"/>
      </rPr>
      <t>/tonne aluminium produced)</t>
    </r>
  </si>
  <si>
    <r>
      <t>(kg C</t>
    </r>
    <r>
      <rPr>
        <vertAlign val="subscript"/>
        <sz val="10"/>
        <rFont val="Cambria"/>
        <family val="1"/>
        <scheme val="major"/>
      </rPr>
      <t>2</t>
    </r>
    <r>
      <rPr>
        <sz val="10"/>
        <rFont val="Cambria"/>
        <family val="1"/>
        <scheme val="major"/>
      </rPr>
      <t>F</t>
    </r>
    <r>
      <rPr>
        <vertAlign val="subscript"/>
        <sz val="10"/>
        <rFont val="Cambria"/>
        <family val="1"/>
        <scheme val="major"/>
      </rPr>
      <t>6</t>
    </r>
    <r>
      <rPr>
        <sz val="10"/>
        <rFont val="Cambria"/>
        <family val="1"/>
        <scheme val="major"/>
      </rPr>
      <t>/tonne aluminium produced)</t>
    </r>
  </si>
  <si>
    <t>CWPB</t>
    <phoneticPr fontId="4"/>
  </si>
  <si>
    <t>SWPB</t>
    <phoneticPr fontId="4"/>
  </si>
  <si>
    <t>VSS</t>
    <phoneticPr fontId="4"/>
  </si>
  <si>
    <t>HSS</t>
    <phoneticPr fontId="4"/>
  </si>
  <si>
    <t>Metal Industry - Lead Production</t>
  </si>
  <si>
    <r>
      <t>Source and Furnace Type</t>
    </r>
    <r>
      <rPr>
        <vertAlign val="superscript"/>
        <sz val="10"/>
        <rFont val="Cambria"/>
        <family val="1"/>
        <scheme val="major"/>
      </rPr>
      <t xml:space="preserve"> 1), 2)</t>
    </r>
  </si>
  <si>
    <t>Amount of Lead Production</t>
    <phoneticPr fontId="4"/>
  </si>
  <si>
    <t>(tonne lead produced)</t>
    <phoneticPr fontId="4"/>
  </si>
  <si>
    <r>
      <t>(tonne CO</t>
    </r>
    <r>
      <rPr>
        <vertAlign val="subscript"/>
        <sz val="10"/>
        <rFont val="Cambria"/>
        <family val="1"/>
        <scheme val="major"/>
      </rPr>
      <t>2</t>
    </r>
    <r>
      <rPr>
        <sz val="10"/>
        <rFont val="Cambria"/>
        <family val="1"/>
        <scheme val="major"/>
      </rPr>
      <t>/tonne lead produced)</t>
    </r>
  </si>
  <si>
    <t>1) For details of source and furnace types, see Table 4.21 in Chapter 4 of Volume 3.
2) Insert additional rows if necessary.</t>
    <phoneticPr fontId="4"/>
  </si>
  <si>
    <r>
      <t>Type of Process</t>
    </r>
    <r>
      <rPr>
        <vertAlign val="superscript"/>
        <sz val="10"/>
        <rFont val="Cambria"/>
        <family val="1"/>
        <scheme val="major"/>
      </rPr>
      <t xml:space="preserve"> 1), 2)</t>
    </r>
  </si>
  <si>
    <t>Amount of Zinc Production</t>
    <phoneticPr fontId="4"/>
  </si>
  <si>
    <t>(tonne zinc produced)</t>
    <phoneticPr fontId="4"/>
  </si>
  <si>
    <r>
      <t>(tonne CO</t>
    </r>
    <r>
      <rPr>
        <vertAlign val="subscript"/>
        <sz val="10"/>
        <rFont val="Cambria"/>
        <family val="1"/>
        <scheme val="major"/>
      </rPr>
      <t>2</t>
    </r>
    <r>
      <rPr>
        <sz val="10"/>
        <rFont val="Cambria"/>
        <family val="1"/>
        <scheme val="major"/>
      </rPr>
      <t>/tonne zinc produced)</t>
    </r>
  </si>
  <si>
    <t>1) For details of process types, see Table 4.24 in Chapter 4 of Volume 3.
2) Insert additional rows if necessary.</t>
    <phoneticPr fontId="4"/>
  </si>
  <si>
    <t>การใช้ผลิตภัณฑ์ (Product Use)</t>
  </si>
  <si>
    <t>Non-Energy Products from Fuels and Solvent Use - Lubricant Use</t>
  </si>
  <si>
    <t>Amount of Lubricant Consumed</t>
    <phoneticPr fontId="4"/>
  </si>
  <si>
    <t>Lubricant Carbon Content</t>
    <phoneticPr fontId="4"/>
  </si>
  <si>
    <t>Fraction Oxidized During Use (ODU factor)</t>
    <phoneticPr fontId="4"/>
  </si>
  <si>
    <t>(TJ)</t>
    <phoneticPr fontId="4"/>
  </si>
  <si>
    <t>(tonne-C/TJ)</t>
    <phoneticPr fontId="4"/>
  </si>
  <si>
    <t>D = A * B * C * 44/12</t>
    <phoneticPr fontId="4"/>
  </si>
  <si>
    <t>Non-Energy Products from Fuels and Solvent Use - Paraffin Wax Use</t>
  </si>
  <si>
    <t>Amount of Paraffin Waxes Consumed</t>
    <phoneticPr fontId="4"/>
  </si>
  <si>
    <t>Paraffin Waxes Carbon Content</t>
    <phoneticPr fontId="4"/>
  </si>
  <si>
    <t>การเกษตร ป่าไม้ และการใช้ประโยชน์ที่ดิน (AFOLU)</t>
  </si>
  <si>
    <t>การจัดการปศุสัตว์ (Livestock)</t>
  </si>
  <si>
    <t>ระบบย่อยอาหารของสัตว์ (Enteric Fermentation)</t>
  </si>
  <si>
    <t>Animal Type</t>
  </si>
  <si>
    <t>Consumption</t>
  </si>
  <si>
    <t>Emission Factor (kg/Head/yr)</t>
  </si>
  <si>
    <t>ตัว</t>
  </si>
  <si>
    <t xml:space="preserve">การจัดการมูลสัตว์ (Manure Management) </t>
  </si>
  <si>
    <t>การใช้ประโยชน์ที่ดินและการเปลี่ยนแปลงการใช้ประโยชน์ที่ดิน (land use and land-use change)</t>
  </si>
  <si>
    <t>ประเภท</t>
  </si>
  <si>
    <t>land-use change</t>
  </si>
  <si>
    <t>ป่าทั้งหมด</t>
  </si>
  <si>
    <t>ป่าอนุรักษ์ &gt;20 ปี</t>
  </si>
  <si>
    <t>ป่าปลูกในป่าอนุรักษ์  &lt;20 ปี</t>
  </si>
  <si>
    <t>ป่าเศรษฐกิจ</t>
  </si>
  <si>
    <t>ไฟป่า</t>
  </si>
  <si>
    <t>ป่าธรรมชาติ &lt;20 ปี</t>
  </si>
  <si>
    <t>ป่าชายเลน</t>
  </si>
  <si>
    <t>Land use and Land-use change Categories</t>
  </si>
  <si>
    <r>
      <t>Δ</t>
    </r>
    <r>
      <rPr>
        <b/>
        <sz val="10"/>
        <rFont val="Cambria"/>
        <family val="1"/>
        <scheme val="major"/>
      </rPr>
      <t xml:space="preserve">C </t>
    </r>
    <r>
      <rPr>
        <b/>
        <vertAlign val="subscript"/>
        <sz val="10"/>
        <rFont val="Cambria"/>
        <family val="1"/>
        <scheme val="major"/>
      </rPr>
      <t>Gain</t>
    </r>
  </si>
  <si>
    <r>
      <t>Δ</t>
    </r>
    <r>
      <rPr>
        <b/>
        <sz val="10"/>
        <rFont val="Cambria"/>
        <family val="1"/>
        <scheme val="major"/>
      </rPr>
      <t xml:space="preserve">C </t>
    </r>
    <r>
      <rPr>
        <b/>
        <vertAlign val="subscript"/>
        <sz val="10"/>
        <rFont val="Cambria"/>
        <family val="1"/>
        <scheme val="major"/>
      </rPr>
      <t>Loss</t>
    </r>
  </si>
  <si>
    <r>
      <t>Δ</t>
    </r>
    <r>
      <rPr>
        <b/>
        <sz val="10"/>
        <rFont val="Cambria"/>
        <family val="1"/>
        <scheme val="major"/>
      </rPr>
      <t>C</t>
    </r>
    <r>
      <rPr>
        <b/>
        <vertAlign val="subscript"/>
        <sz val="10"/>
        <rFont val="Cambria"/>
        <family val="1"/>
        <scheme val="major"/>
      </rPr>
      <t>LB</t>
    </r>
    <r>
      <rPr>
        <sz val="10"/>
        <rFont val="Cambria"/>
        <family val="1"/>
        <scheme val="major"/>
      </rPr>
      <t xml:space="preserve"> </t>
    </r>
    <r>
      <rPr>
        <sz val="18"/>
        <color indexed="53"/>
        <rFont val="Book Antiqua"/>
        <family val="1"/>
      </rPr>
      <t/>
    </r>
  </si>
  <si>
    <r>
      <t>Δ</t>
    </r>
    <r>
      <rPr>
        <b/>
        <sz val="10"/>
        <rFont val="Cambria"/>
        <family val="1"/>
        <scheme val="major"/>
      </rPr>
      <t>C</t>
    </r>
    <r>
      <rPr>
        <b/>
        <vertAlign val="subscript"/>
        <sz val="10"/>
        <rFont val="Cambria"/>
        <family val="1"/>
        <scheme val="major"/>
      </rPr>
      <t>DOM</t>
    </r>
    <r>
      <rPr>
        <sz val="14"/>
        <color indexed="53"/>
        <rFont val="Browallia New"/>
        <family val="2"/>
      </rPr>
      <t/>
    </r>
  </si>
  <si>
    <r>
      <t>Δ</t>
    </r>
    <r>
      <rPr>
        <b/>
        <sz val="10"/>
        <rFont val="Cambria"/>
        <family val="1"/>
        <scheme val="major"/>
      </rPr>
      <t xml:space="preserve">C </t>
    </r>
    <r>
      <rPr>
        <b/>
        <vertAlign val="subscript"/>
        <sz val="10"/>
        <rFont val="Cambria"/>
        <family val="1"/>
        <scheme val="major"/>
      </rPr>
      <t>Mineral</t>
    </r>
    <r>
      <rPr>
        <b/>
        <sz val="18"/>
        <color indexed="53"/>
        <rFont val="Browallia New"/>
        <family val="2"/>
      </rPr>
      <t/>
    </r>
  </si>
  <si>
    <r>
      <t xml:space="preserve"> L </t>
    </r>
    <r>
      <rPr>
        <b/>
        <vertAlign val="subscript"/>
        <sz val="10"/>
        <rFont val="Cambria"/>
        <family val="1"/>
        <scheme val="major"/>
      </rPr>
      <t>Organic</t>
    </r>
  </si>
  <si>
    <r>
      <t>Δ</t>
    </r>
    <r>
      <rPr>
        <b/>
        <sz val="10"/>
        <rFont val="Cambria"/>
        <family val="1"/>
        <scheme val="major"/>
      </rPr>
      <t xml:space="preserve">C </t>
    </r>
    <r>
      <rPr>
        <b/>
        <vertAlign val="subscript"/>
        <sz val="10"/>
        <rFont val="Cambria"/>
        <family val="1"/>
        <scheme val="major"/>
      </rPr>
      <t>Soils</t>
    </r>
    <r>
      <rPr>
        <b/>
        <sz val="10"/>
        <rFont val="Cambria"/>
        <family val="1"/>
        <scheme val="major"/>
      </rPr>
      <t xml:space="preserve"> </t>
    </r>
    <r>
      <rPr>
        <sz val="14"/>
        <color indexed="53"/>
        <rFont val="Book Antiqua"/>
        <family val="1"/>
      </rPr>
      <t/>
    </r>
  </si>
  <si>
    <r>
      <t>Δ</t>
    </r>
    <r>
      <rPr>
        <b/>
        <sz val="10"/>
        <rFont val="Cambria"/>
        <family val="1"/>
        <scheme val="major"/>
      </rPr>
      <t>C (tonnes C)</t>
    </r>
  </si>
  <si>
    <t>ΔC Gain - ΔC Loss</t>
  </si>
  <si>
    <t>ΔC Mineral - L Organic</t>
  </si>
  <si>
    <r>
      <t>ΔC</t>
    </r>
    <r>
      <rPr>
        <vertAlign val="subscript"/>
        <sz val="10"/>
        <rFont val="Cambria"/>
        <family val="1"/>
        <scheme val="major"/>
      </rPr>
      <t>LB</t>
    </r>
    <r>
      <rPr>
        <sz val="10"/>
        <rFont val="Cambria"/>
        <family val="1"/>
        <scheme val="major"/>
      </rPr>
      <t xml:space="preserve"> + ΔC</t>
    </r>
    <r>
      <rPr>
        <vertAlign val="subscript"/>
        <sz val="10"/>
        <rFont val="Cambria"/>
        <family val="1"/>
        <scheme val="major"/>
      </rPr>
      <t>DOM</t>
    </r>
    <r>
      <rPr>
        <sz val="10"/>
        <rFont val="Cambria"/>
        <family val="1"/>
        <scheme val="major"/>
      </rPr>
      <t xml:space="preserve"> + ΔC </t>
    </r>
    <r>
      <rPr>
        <vertAlign val="subscript"/>
        <sz val="10"/>
        <rFont val="Cambria"/>
        <family val="1"/>
        <scheme val="major"/>
      </rPr>
      <t xml:space="preserve">Soils </t>
    </r>
  </si>
  <si>
    <t>land use</t>
  </si>
  <si>
    <t xml:space="preserve">Forest land Remaining Forest land </t>
  </si>
  <si>
    <t>Land Converted to Forest Land</t>
  </si>
  <si>
    <t>Land Converted to Settlements</t>
  </si>
  <si>
    <t>Forest Land Remaining Forest Land:</t>
  </si>
  <si>
    <t>Forest Land Remaining Forest Land: Annual increase in carbon stocks in biomass (includes above-ground and below-ground biomass)</t>
  </si>
  <si>
    <t>Equation</t>
  </si>
  <si>
    <t>Equation 2.2</t>
  </si>
  <si>
    <t>Equation 2.9</t>
  </si>
  <si>
    <t>Equation 2.10</t>
  </si>
  <si>
    <t>Land-use category</t>
  </si>
  <si>
    <t>Subcategories for reporting year</t>
  </si>
  <si>
    <t>Area of Forest Land Remaining Forest Land</t>
  </si>
  <si>
    <t xml:space="preserve">Average annual above-ground biomass growth </t>
  </si>
  <si>
    <t>Ratio of below-ground biomass to above-ground biomass</t>
  </si>
  <si>
    <t>Average annual biomass growth above- and below-ground</t>
  </si>
  <si>
    <t>Carbon fraction of dry matter</t>
  </si>
  <si>
    <t>Annual increase in biomass carbon stocks due to biomass growth</t>
  </si>
  <si>
    <t>Initial land use</t>
  </si>
  <si>
    <t>Land use during reporting year</t>
  </si>
  <si>
    <t>(ha)</t>
  </si>
  <si>
    <t>(tonnes dm</t>
  </si>
  <si>
    <r>
      <t>[tonnes bg dm (tonne ag dm)</t>
    </r>
    <r>
      <rPr>
        <vertAlign val="superscript"/>
        <sz val="10"/>
        <rFont val="Cambria"/>
        <family val="1"/>
        <scheme val="major"/>
      </rPr>
      <t>-1</t>
    </r>
    <r>
      <rPr>
        <sz val="10"/>
        <rFont val="Cambria"/>
        <family val="1"/>
        <scheme val="major"/>
      </rPr>
      <t>]</t>
    </r>
  </si>
  <si>
    <t>[tonnes C</t>
  </si>
  <si>
    <r>
      <t>(tonnes C yr</t>
    </r>
    <r>
      <rPr>
        <vertAlign val="superscript"/>
        <sz val="10"/>
        <rFont val="Cambria"/>
        <family val="1"/>
        <scheme val="major"/>
      </rPr>
      <t>-1</t>
    </r>
    <r>
      <rPr>
        <sz val="10"/>
        <rFont val="Cambria"/>
        <family val="1"/>
        <scheme val="major"/>
      </rPr>
      <t>)</t>
    </r>
  </si>
  <si>
    <r>
      <t>ha</t>
    </r>
    <r>
      <rPr>
        <vertAlign val="superscript"/>
        <sz val="10"/>
        <rFont val="Cambria"/>
        <family val="1"/>
        <scheme val="major"/>
      </rPr>
      <t>-1</t>
    </r>
    <r>
      <rPr>
        <sz val="10"/>
        <rFont val="Cambria"/>
        <family val="1"/>
        <scheme val="major"/>
      </rPr>
      <t xml:space="preserve"> yr</t>
    </r>
    <r>
      <rPr>
        <vertAlign val="superscript"/>
        <sz val="10"/>
        <rFont val="Cambria"/>
        <family val="1"/>
        <scheme val="major"/>
      </rPr>
      <t>-1</t>
    </r>
    <r>
      <rPr>
        <sz val="10"/>
        <rFont val="Cambria"/>
        <family val="1"/>
        <scheme val="major"/>
      </rPr>
      <t>)</t>
    </r>
  </si>
  <si>
    <r>
      <t>(tonne dm)</t>
    </r>
    <r>
      <rPr>
        <vertAlign val="superscript"/>
        <sz val="10"/>
        <rFont val="Cambria"/>
        <family val="1"/>
        <scheme val="major"/>
      </rPr>
      <t>-1</t>
    </r>
    <r>
      <rPr>
        <sz val="10"/>
        <rFont val="Cambria"/>
        <family val="1"/>
        <scheme val="major"/>
      </rPr>
      <t>]</t>
    </r>
  </si>
  <si>
    <t>National statistics or international data sources</t>
  </si>
  <si>
    <t>Tables</t>
  </si>
  <si>
    <t>zero (0) or</t>
  </si>
  <si>
    <r>
      <t>G</t>
    </r>
    <r>
      <rPr>
        <vertAlign val="subscript"/>
        <sz val="10"/>
        <rFont val="Cambria"/>
        <family val="1"/>
        <scheme val="major"/>
      </rPr>
      <t>TOTAL</t>
    </r>
    <r>
      <rPr>
        <sz val="10"/>
        <rFont val="Cambria"/>
        <family val="1"/>
        <scheme val="major"/>
      </rPr>
      <t xml:space="preserve"> = GW * (1+R)</t>
    </r>
  </si>
  <si>
    <t>0.5 or</t>
  </si>
  <si>
    <r>
      <t>ΔCG = A * G</t>
    </r>
    <r>
      <rPr>
        <vertAlign val="subscript"/>
        <sz val="10"/>
        <rFont val="Cambria"/>
        <family val="1"/>
        <scheme val="major"/>
      </rPr>
      <t>TOTAL</t>
    </r>
    <r>
      <rPr>
        <sz val="10"/>
        <rFont val="Cambria"/>
        <family val="1"/>
        <scheme val="major"/>
      </rPr>
      <t xml:space="preserve"> * CF</t>
    </r>
  </si>
  <si>
    <t>4.9, 4.10 and 4.12</t>
  </si>
  <si>
    <t>Table 4.4</t>
  </si>
  <si>
    <t>Table 4.3</t>
  </si>
  <si>
    <t>A</t>
  </si>
  <si>
    <r>
      <t>G</t>
    </r>
    <r>
      <rPr>
        <b/>
        <vertAlign val="subscript"/>
        <sz val="10"/>
        <rFont val="Cambria"/>
        <family val="1"/>
        <scheme val="major"/>
      </rPr>
      <t>W</t>
    </r>
  </si>
  <si>
    <t>R</t>
  </si>
  <si>
    <r>
      <t>G</t>
    </r>
    <r>
      <rPr>
        <b/>
        <vertAlign val="subscript"/>
        <sz val="10"/>
        <rFont val="Cambria"/>
        <family val="1"/>
        <scheme val="major"/>
      </rPr>
      <t>TOTAL</t>
    </r>
  </si>
  <si>
    <t>CF</t>
  </si>
  <si>
    <t>ΔCG</t>
  </si>
  <si>
    <t>FL</t>
  </si>
  <si>
    <t>Natural Forest</t>
  </si>
  <si>
    <t>Tropical rainforest &gt; 20y</t>
  </si>
  <si>
    <t>Tropical rainforest &lt; 20y</t>
  </si>
  <si>
    <t>Tropical moist decidous forest &gt; 20y</t>
  </si>
  <si>
    <t>Tropical dry forest &gt; 20y</t>
  </si>
  <si>
    <t>Tropical dry forest &lt; 20y</t>
  </si>
  <si>
    <t>Tropical montain system &gt; 20y</t>
  </si>
  <si>
    <t>Tropical montain system &lt; 20y</t>
  </si>
  <si>
    <t>Mangrove forest &gt; 20y</t>
  </si>
  <si>
    <t>Mangrove forest &lt; 20y</t>
  </si>
  <si>
    <t>Sub-total</t>
  </si>
  <si>
    <t>Plantation</t>
  </si>
  <si>
    <t>Eucalyptus spp.</t>
  </si>
  <si>
    <t>Teak spp.</t>
  </si>
  <si>
    <t>Pine</t>
  </si>
  <si>
    <t>Rhizophora spp.</t>
  </si>
  <si>
    <t>Slow growing species</t>
  </si>
  <si>
    <t>Other</t>
  </si>
  <si>
    <t>ตัวหนังสือสีส้ม คือ 2006 IPCC</t>
  </si>
  <si>
    <t>ตัวหนังสือสีฟ้า คือ Country Specific</t>
  </si>
  <si>
    <t>ตัวหนังสือสีเขียว คือ SNC</t>
  </si>
  <si>
    <t>ตัวหนังสือสีชมพู คือ 2013 Supplement</t>
  </si>
  <si>
    <t>Slow growing species: พะยูง ประดู่ป่า ตะเคียนทอง มะค่าโมง และยางนา</t>
  </si>
  <si>
    <t>Forest Land Remaining Forest Land: Loss of carbon from wood removals</t>
  </si>
  <si>
    <t>Equation 2.12</t>
  </si>
  <si>
    <t>Annual wood removal</t>
  </si>
  <si>
    <t>Biomass conversion and expansion factor for conversion of removals in merchantable volume to total biomass removals (including bark)</t>
  </si>
  <si>
    <t>Annual carbon loss due to biomass removals</t>
  </si>
  <si>
    <r>
      <t>(m</t>
    </r>
    <r>
      <rPr>
        <vertAlign val="superscript"/>
        <sz val="10"/>
        <rFont val="Cambria"/>
        <family val="1"/>
        <scheme val="major"/>
      </rPr>
      <t>3</t>
    </r>
    <r>
      <rPr>
        <sz val="10"/>
        <rFont val="Cambria"/>
        <family val="1"/>
        <scheme val="major"/>
      </rPr>
      <t xml:space="preserve"> yr</t>
    </r>
    <r>
      <rPr>
        <vertAlign val="superscript"/>
        <sz val="10"/>
        <rFont val="Cambria"/>
        <family val="1"/>
        <scheme val="major"/>
      </rPr>
      <t>-1</t>
    </r>
    <r>
      <rPr>
        <sz val="10"/>
        <rFont val="Cambria"/>
        <family val="1"/>
        <scheme val="major"/>
      </rPr>
      <t>)</t>
    </r>
  </si>
  <si>
    <t>[tonnes of biomass removals</t>
  </si>
  <si>
    <t>[tonnes bg dm</t>
  </si>
  <si>
    <r>
      <t>(m</t>
    </r>
    <r>
      <rPr>
        <vertAlign val="superscript"/>
        <sz val="10"/>
        <rFont val="Cambria"/>
        <family val="1"/>
        <scheme val="major"/>
      </rPr>
      <t>3</t>
    </r>
    <r>
      <rPr>
        <sz val="10"/>
        <rFont val="Cambria"/>
        <family val="1"/>
        <scheme val="major"/>
      </rPr>
      <t xml:space="preserve"> of removals) </t>
    </r>
    <r>
      <rPr>
        <vertAlign val="superscript"/>
        <sz val="10"/>
        <rFont val="Cambria"/>
        <family val="1"/>
        <scheme val="major"/>
      </rPr>
      <t>–1</t>
    </r>
    <r>
      <rPr>
        <sz val="10"/>
        <rFont val="Cambria"/>
        <family val="1"/>
        <scheme val="major"/>
      </rPr>
      <t>]</t>
    </r>
  </si>
  <si>
    <r>
      <t>(tonne ag dm)</t>
    </r>
    <r>
      <rPr>
        <vertAlign val="superscript"/>
        <sz val="10"/>
        <rFont val="Cambria"/>
        <family val="1"/>
        <scheme val="major"/>
      </rPr>
      <t>-1</t>
    </r>
    <r>
      <rPr>
        <sz val="10"/>
        <rFont val="Cambria"/>
        <family val="1"/>
        <scheme val="major"/>
      </rPr>
      <t>]</t>
    </r>
  </si>
  <si>
    <t>Table 4.5</t>
  </si>
  <si>
    <t>zero (0) or Table 4.4</t>
  </si>
  <si>
    <t>0.5 or Table 4.3</t>
  </si>
  <si>
    <r>
      <t>L</t>
    </r>
    <r>
      <rPr>
        <vertAlign val="subscript"/>
        <sz val="10"/>
        <rFont val="Cambria"/>
        <family val="1"/>
        <scheme val="major"/>
      </rPr>
      <t>wood-removals</t>
    </r>
    <r>
      <rPr>
        <sz val="10"/>
        <rFont val="Cambria"/>
        <family val="1"/>
        <scheme val="major"/>
      </rPr>
      <t xml:space="preserve"> = H * BCEF</t>
    </r>
    <r>
      <rPr>
        <vertAlign val="subscript"/>
        <sz val="10"/>
        <rFont val="Cambria"/>
        <family val="1"/>
        <scheme val="major"/>
      </rPr>
      <t>R</t>
    </r>
    <r>
      <rPr>
        <sz val="10"/>
        <rFont val="Cambria"/>
        <family val="1"/>
        <scheme val="major"/>
      </rPr>
      <t xml:space="preserve"> * (1+R) * CF</t>
    </r>
  </si>
  <si>
    <t>H</t>
  </si>
  <si>
    <r>
      <t>BCEF</t>
    </r>
    <r>
      <rPr>
        <b/>
        <vertAlign val="subscript"/>
        <sz val="10"/>
        <rFont val="Cambria"/>
        <family val="1"/>
        <scheme val="major"/>
      </rPr>
      <t>R</t>
    </r>
  </si>
  <si>
    <r>
      <t>L</t>
    </r>
    <r>
      <rPr>
        <b/>
        <vertAlign val="subscript"/>
        <sz val="10"/>
        <rFont val="Cambria"/>
        <family val="1"/>
        <scheme val="major"/>
      </rPr>
      <t>wood-removals</t>
    </r>
  </si>
  <si>
    <t>Tropical rainforest</t>
  </si>
  <si>
    <t>Tropical moist decidous forest</t>
  </si>
  <si>
    <t>Tropical dry forest</t>
  </si>
  <si>
    <t>Tropical montain system</t>
  </si>
  <si>
    <t>Mangrove forest</t>
  </si>
  <si>
    <t>Forest Land Remaining Forest Land: Loss of carbon from fuelwood removals</t>
  </si>
  <si>
    <t>Equation 2.13</t>
  </si>
  <si>
    <t>Annual volume of fuelwood removal of whole trees</t>
  </si>
  <si>
    <t>Biomass conversion and expansion factor for conversion of removals in merchantable volume to biomass removals (including bark)</t>
  </si>
  <si>
    <t>Annual volume of fuelwood removal as tree parts</t>
  </si>
  <si>
    <t>Basic wood density</t>
  </si>
  <si>
    <t>Annual carbon loss due to fuelwood removal</t>
  </si>
  <si>
    <r>
      <t>tonnes m</t>
    </r>
    <r>
      <rPr>
        <vertAlign val="superscript"/>
        <sz val="10"/>
        <rFont val="Cambria"/>
        <family val="1"/>
        <scheme val="major"/>
      </rPr>
      <t>-3</t>
    </r>
  </si>
  <si>
    <t>FAO statistics</t>
  </si>
  <si>
    <t>Tables 4.13 and 4.14</t>
  </si>
  <si>
    <r>
      <t>Lfuelwood = [FGtrees * BCEF</t>
    </r>
    <r>
      <rPr>
        <vertAlign val="subscript"/>
        <sz val="10"/>
        <rFont val="Cambria"/>
        <family val="1"/>
        <scheme val="major"/>
      </rPr>
      <t>R</t>
    </r>
    <r>
      <rPr>
        <sz val="10"/>
        <rFont val="Cambria"/>
        <family val="1"/>
        <scheme val="major"/>
      </rPr>
      <t xml:space="preserve"> * (1+R) + FG</t>
    </r>
    <r>
      <rPr>
        <vertAlign val="subscript"/>
        <sz val="10"/>
        <rFont val="Cambria"/>
        <family val="1"/>
        <scheme val="major"/>
      </rPr>
      <t>part</t>
    </r>
    <r>
      <rPr>
        <sz val="10"/>
        <rFont val="Cambria"/>
        <family val="1"/>
        <scheme val="major"/>
      </rPr>
      <t xml:space="preserve"> * D] * CF</t>
    </r>
  </si>
  <si>
    <r>
      <t>FG</t>
    </r>
    <r>
      <rPr>
        <b/>
        <vertAlign val="subscript"/>
        <sz val="10"/>
        <rFont val="Cambria"/>
        <family val="1"/>
        <scheme val="major"/>
      </rPr>
      <t>trees</t>
    </r>
  </si>
  <si>
    <r>
      <t>FG</t>
    </r>
    <r>
      <rPr>
        <b/>
        <vertAlign val="subscript"/>
        <sz val="10"/>
        <rFont val="Cambria"/>
        <family val="1"/>
        <scheme val="major"/>
      </rPr>
      <t>part</t>
    </r>
  </si>
  <si>
    <t>D</t>
  </si>
  <si>
    <r>
      <t>L</t>
    </r>
    <r>
      <rPr>
        <b/>
        <vertAlign val="subscript"/>
        <sz val="10"/>
        <rFont val="Cambria"/>
        <family val="1"/>
        <scheme val="major"/>
      </rPr>
      <t>fuelwood</t>
    </r>
  </si>
  <si>
    <t>Forest Land Remaining Forest Land: Loss of carbon from disturbance</t>
  </si>
  <si>
    <t>Equation 2.14</t>
  </si>
  <si>
    <t>Equation 2.11</t>
  </si>
  <si>
    <t>Area affected by disturbances</t>
  </si>
  <si>
    <t>Average above-ground biomass of areas affected</t>
  </si>
  <si>
    <t>Annual other losses of carbon</t>
  </si>
  <si>
    <t>Annual decrease in carbon stocks due to biomass loss</t>
  </si>
  <si>
    <r>
      <t>(ha yr</t>
    </r>
    <r>
      <rPr>
        <vertAlign val="superscript"/>
        <sz val="10"/>
        <rFont val="Cambria"/>
        <family val="1"/>
        <scheme val="major"/>
      </rPr>
      <t>-1</t>
    </r>
    <r>
      <rPr>
        <sz val="10"/>
        <rFont val="Cambria"/>
        <family val="1"/>
        <scheme val="major"/>
      </rPr>
      <t>)</t>
    </r>
  </si>
  <si>
    <r>
      <t>(tonnes dm ha</t>
    </r>
    <r>
      <rPr>
        <vertAlign val="superscript"/>
        <sz val="10"/>
        <rFont val="Cambria"/>
        <family val="1"/>
        <scheme val="major"/>
      </rPr>
      <t>-1</t>
    </r>
    <r>
      <rPr>
        <sz val="10"/>
        <rFont val="Cambria"/>
        <family val="1"/>
        <scheme val="major"/>
      </rPr>
      <t>)</t>
    </r>
  </si>
  <si>
    <t xml:space="preserve">(tonnes C </t>
  </si>
  <si>
    <r>
      <t>yr</t>
    </r>
    <r>
      <rPr>
        <vertAlign val="superscript"/>
        <sz val="10"/>
        <rFont val="Cambria"/>
        <family val="1"/>
        <scheme val="major"/>
      </rPr>
      <t>-1</t>
    </r>
    <r>
      <rPr>
        <sz val="10"/>
        <rFont val="Cambria"/>
        <family val="1"/>
        <scheme val="major"/>
      </rPr>
      <t>)</t>
    </r>
  </si>
  <si>
    <t>Table 4.9</t>
  </si>
  <si>
    <r>
      <t>L</t>
    </r>
    <r>
      <rPr>
        <vertAlign val="subscript"/>
        <sz val="10"/>
        <rFont val="Cambria"/>
        <family val="1"/>
        <scheme val="major"/>
      </rPr>
      <t>disturbances</t>
    </r>
    <r>
      <rPr>
        <sz val="10"/>
        <rFont val="Cambria"/>
        <family val="1"/>
        <scheme val="major"/>
      </rPr>
      <t xml:space="preserve"> = A * B</t>
    </r>
    <r>
      <rPr>
        <vertAlign val="subscript"/>
        <sz val="10"/>
        <rFont val="Cambria"/>
        <family val="1"/>
        <scheme val="major"/>
      </rPr>
      <t>W</t>
    </r>
    <r>
      <rPr>
        <sz val="10"/>
        <rFont val="Cambria"/>
        <family val="1"/>
        <scheme val="major"/>
      </rPr>
      <t xml:space="preserve"> * (1+R) * CF * fd</t>
    </r>
  </si>
  <si>
    <r>
      <t>DC</t>
    </r>
    <r>
      <rPr>
        <b/>
        <vertAlign val="subscript"/>
        <sz val="10"/>
        <rFont val="Cambria"/>
        <family val="1"/>
        <scheme val="major"/>
      </rPr>
      <t>L</t>
    </r>
    <r>
      <rPr>
        <b/>
        <sz val="10"/>
        <rFont val="Cambria"/>
        <family val="1"/>
        <scheme val="major"/>
      </rPr>
      <t>=L</t>
    </r>
    <r>
      <rPr>
        <b/>
        <vertAlign val="subscript"/>
        <sz val="10"/>
        <rFont val="Cambria"/>
        <family val="1"/>
        <scheme val="major"/>
      </rPr>
      <t>wood-removals</t>
    </r>
  </si>
  <si>
    <r>
      <t xml:space="preserve"> + L</t>
    </r>
    <r>
      <rPr>
        <vertAlign val="subscript"/>
        <sz val="10"/>
        <rFont val="Cambria"/>
        <family val="1"/>
        <scheme val="major"/>
      </rPr>
      <t>fuelwood</t>
    </r>
    <r>
      <rPr>
        <b/>
        <sz val="10"/>
        <rFont val="Cambria"/>
        <family val="1"/>
        <scheme val="major"/>
      </rPr>
      <t xml:space="preserve"> + L</t>
    </r>
    <r>
      <rPr>
        <b/>
        <vertAlign val="subscript"/>
        <sz val="10"/>
        <rFont val="Cambria"/>
        <family val="1"/>
        <scheme val="major"/>
      </rPr>
      <t>disturbancess</t>
    </r>
  </si>
  <si>
    <r>
      <t>A</t>
    </r>
    <r>
      <rPr>
        <b/>
        <vertAlign val="subscript"/>
        <sz val="10"/>
        <rFont val="Cambria"/>
        <family val="1"/>
        <scheme val="major"/>
      </rPr>
      <t>disturbance</t>
    </r>
  </si>
  <si>
    <r>
      <t>B</t>
    </r>
    <r>
      <rPr>
        <b/>
        <vertAlign val="subscript"/>
        <sz val="10"/>
        <rFont val="Cambria"/>
        <family val="1"/>
        <scheme val="major"/>
      </rPr>
      <t>W</t>
    </r>
  </si>
  <si>
    <r>
      <t>L</t>
    </r>
    <r>
      <rPr>
        <b/>
        <vertAlign val="subscript"/>
        <sz val="10"/>
        <rFont val="Cambria"/>
        <family val="1"/>
        <scheme val="major"/>
      </rPr>
      <t>disturbances</t>
    </r>
  </si>
  <si>
    <r>
      <t>DC</t>
    </r>
    <r>
      <rPr>
        <b/>
        <vertAlign val="subscript"/>
        <sz val="10"/>
        <rFont val="Cambria"/>
        <family val="1"/>
        <scheme val="major"/>
      </rPr>
      <t>L</t>
    </r>
  </si>
  <si>
    <t>Note: fd = fraction of biomass lost in disturbance; a stand-replacing disturbance will kill all (fd = 1) biomass while an insect disturbance may only remove a portion (e.g. fd = 0.3) of the average biomass C density.</t>
  </si>
  <si>
    <t>Forest Land Remaining Forest Land (FL-FL): Annual carbon loss from drained organic soils</t>
  </si>
  <si>
    <t>Equation 2.26</t>
  </si>
  <si>
    <t>Land area of drained organic soil</t>
  </si>
  <si>
    <t>Emission factor for climate type</t>
  </si>
  <si>
    <t>Annual carbon loss from drained organic soils</t>
  </si>
  <si>
    <r>
      <t>(tonnes C ha</t>
    </r>
    <r>
      <rPr>
        <vertAlign val="superscript"/>
        <sz val="10"/>
        <rFont val="Cambria"/>
        <family val="1"/>
        <scheme val="major"/>
      </rPr>
      <t>-1</t>
    </r>
    <r>
      <rPr>
        <sz val="10"/>
        <rFont val="Cambria"/>
        <family val="1"/>
        <scheme val="major"/>
      </rPr>
      <t xml:space="preserve"> yr</t>
    </r>
    <r>
      <rPr>
        <vertAlign val="superscript"/>
        <sz val="10"/>
        <rFont val="Cambria"/>
        <family val="1"/>
        <scheme val="major"/>
      </rPr>
      <t>-1</t>
    </r>
    <r>
      <rPr>
        <sz val="10"/>
        <rFont val="Cambria"/>
        <family val="1"/>
        <scheme val="major"/>
      </rPr>
      <t>)</t>
    </r>
  </si>
  <si>
    <t>Table 4.6</t>
  </si>
  <si>
    <r>
      <t>L</t>
    </r>
    <r>
      <rPr>
        <b/>
        <vertAlign val="subscript"/>
        <sz val="10"/>
        <rFont val="Cambria"/>
        <family val="1"/>
        <scheme val="major"/>
      </rPr>
      <t>Organic</t>
    </r>
    <r>
      <rPr>
        <b/>
        <sz val="10"/>
        <rFont val="Cambria"/>
        <family val="1"/>
        <scheme val="major"/>
      </rPr>
      <t xml:space="preserve"> = A * EF</t>
    </r>
  </si>
  <si>
    <r>
      <t>L</t>
    </r>
    <r>
      <rPr>
        <b/>
        <vertAlign val="subscript"/>
        <sz val="10"/>
        <rFont val="Cambria"/>
        <family val="1"/>
        <scheme val="major"/>
      </rPr>
      <t>Organic</t>
    </r>
  </si>
  <si>
    <t>Land Converted to Forest Land: Annual increase in carbon stocks in biomass (includes above- and below-ground biomass)</t>
  </si>
  <si>
    <t>Area of land Converted to Forest Land</t>
  </si>
  <si>
    <t>Average annual biomass growth above and below-ground</t>
  </si>
  <si>
    <r>
      <t>Initial land use</t>
    </r>
    <r>
      <rPr>
        <vertAlign val="superscript"/>
        <sz val="10"/>
        <rFont val="Cambria"/>
        <family val="1"/>
        <scheme val="major"/>
      </rPr>
      <t>1</t>
    </r>
  </si>
  <si>
    <r>
      <t>G</t>
    </r>
    <r>
      <rPr>
        <vertAlign val="subscript"/>
        <sz val="10"/>
        <rFont val="Cambria"/>
        <family val="1"/>
        <scheme val="major"/>
      </rPr>
      <t>TOTAL</t>
    </r>
    <r>
      <rPr>
        <sz val="10"/>
        <rFont val="Cambria"/>
        <family val="1"/>
        <scheme val="major"/>
      </rPr>
      <t xml:space="preserve"> = G</t>
    </r>
    <r>
      <rPr>
        <vertAlign val="subscript"/>
        <sz val="10"/>
        <rFont val="Cambria"/>
        <family val="1"/>
        <scheme val="major"/>
      </rPr>
      <t>W</t>
    </r>
    <r>
      <rPr>
        <sz val="10"/>
        <rFont val="Cambria"/>
        <family val="1"/>
        <scheme val="major"/>
      </rPr>
      <t xml:space="preserve"> * (1+R)</t>
    </r>
  </si>
  <si>
    <r>
      <t>ΔC</t>
    </r>
    <r>
      <rPr>
        <b/>
        <vertAlign val="subscript"/>
        <sz val="10"/>
        <rFont val="Cambria"/>
        <family val="1"/>
        <scheme val="major"/>
      </rPr>
      <t>G</t>
    </r>
    <r>
      <rPr>
        <b/>
        <sz val="10"/>
        <rFont val="Cambria"/>
        <family val="1"/>
        <scheme val="major"/>
      </rPr>
      <t xml:space="preserve"> = A * G</t>
    </r>
    <r>
      <rPr>
        <b/>
        <vertAlign val="subscript"/>
        <sz val="10"/>
        <rFont val="Cambria"/>
        <family val="1"/>
        <scheme val="major"/>
      </rPr>
      <t>TOTAL</t>
    </r>
    <r>
      <rPr>
        <b/>
        <sz val="10"/>
        <rFont val="Cambria"/>
        <family val="1"/>
        <scheme val="major"/>
      </rPr>
      <t xml:space="preserve"> * CF</t>
    </r>
  </si>
  <si>
    <r>
      <t>DC</t>
    </r>
    <r>
      <rPr>
        <b/>
        <vertAlign val="subscript"/>
        <sz val="10"/>
        <rFont val="Cambria"/>
        <family val="1"/>
        <scheme val="major"/>
      </rPr>
      <t>G</t>
    </r>
  </si>
  <si>
    <r>
      <t xml:space="preserve">1 </t>
    </r>
    <r>
      <rPr>
        <sz val="10"/>
        <rFont val="Cambria"/>
        <family val="1"/>
        <scheme val="major"/>
      </rPr>
      <t>If data by initial land use are not available, use only "non-FL" in this column.</t>
    </r>
  </si>
  <si>
    <t>Land Converted to Forest Land: Loss of carbon from wood removals1</t>
  </si>
  <si>
    <t>Land Converted to Forest Land: Loss of carbon from fuelwood removals</t>
  </si>
  <si>
    <t>Land Converted to Forest Land: Loss of carbon from disturbance</t>
  </si>
  <si>
    <t>Land Converted to Forest Land:  Annual change in carbon stocks in dead organic matter due to land conversion</t>
  </si>
  <si>
    <t>Category</t>
  </si>
  <si>
    <t>Equation 2.23</t>
  </si>
  <si>
    <t>Area undergoing conversion from old to new land-use category</t>
  </si>
  <si>
    <t>Dead wood/litter stock, under the new land-use category</t>
  </si>
  <si>
    <t>Dead wood/litter stock, under the old land-use category</t>
  </si>
  <si>
    <t>Time period of the transition from old to new land-use category</t>
  </si>
  <si>
    <t>Annual change in carbon stocks in dead wood/litter</t>
  </si>
  <si>
    <r>
      <t>(tonnes C ha</t>
    </r>
    <r>
      <rPr>
        <vertAlign val="superscript"/>
        <sz val="10"/>
        <rFont val="Cambria"/>
        <family val="1"/>
        <scheme val="major"/>
      </rPr>
      <t>-1</t>
    </r>
    <r>
      <rPr>
        <sz val="10"/>
        <rFont val="Cambria"/>
        <family val="1"/>
        <scheme val="major"/>
      </rPr>
      <t>)</t>
    </r>
  </si>
  <si>
    <t>(yr)</t>
  </si>
  <si>
    <t>Table 2.2 for litter, or national statistics</t>
  </si>
  <si>
    <t>default value is zero (0)</t>
  </si>
  <si>
    <t>default value is 20</t>
  </si>
  <si>
    <r>
      <t>ΔC</t>
    </r>
    <r>
      <rPr>
        <b/>
        <vertAlign val="subscript"/>
        <sz val="10"/>
        <rFont val="Cambria"/>
        <family val="1"/>
        <scheme val="major"/>
      </rPr>
      <t>DOM</t>
    </r>
    <r>
      <rPr>
        <b/>
        <sz val="10"/>
        <rFont val="Cambria"/>
        <family val="1"/>
        <scheme val="major"/>
      </rPr>
      <t xml:space="preserve"> = A * (C</t>
    </r>
    <r>
      <rPr>
        <b/>
        <vertAlign val="subscript"/>
        <sz val="10"/>
        <rFont val="Cambria"/>
        <family val="1"/>
        <scheme val="major"/>
      </rPr>
      <t>n</t>
    </r>
    <r>
      <rPr>
        <b/>
        <sz val="10"/>
        <rFont val="Cambria"/>
        <family val="1"/>
        <scheme val="major"/>
      </rPr>
      <t xml:space="preserve"> - C</t>
    </r>
    <r>
      <rPr>
        <b/>
        <vertAlign val="subscript"/>
        <sz val="10"/>
        <rFont val="Cambria"/>
        <family val="1"/>
        <scheme val="major"/>
      </rPr>
      <t>o</t>
    </r>
    <r>
      <rPr>
        <b/>
        <sz val="10"/>
        <rFont val="Cambria"/>
        <family val="1"/>
        <scheme val="major"/>
      </rPr>
      <t>) / T</t>
    </r>
  </si>
  <si>
    <r>
      <t>C</t>
    </r>
    <r>
      <rPr>
        <b/>
        <vertAlign val="subscript"/>
        <sz val="10"/>
        <rFont val="Cambria"/>
        <family val="1"/>
        <scheme val="major"/>
      </rPr>
      <t>n</t>
    </r>
  </si>
  <si>
    <r>
      <t>C</t>
    </r>
    <r>
      <rPr>
        <b/>
        <vertAlign val="subscript"/>
        <sz val="10"/>
        <rFont val="Cambria"/>
        <family val="1"/>
        <scheme val="major"/>
      </rPr>
      <t>o</t>
    </r>
  </si>
  <si>
    <t>T</t>
  </si>
  <si>
    <r>
      <t>∆C</t>
    </r>
    <r>
      <rPr>
        <b/>
        <vertAlign val="subscript"/>
        <sz val="10"/>
        <rFont val="Cambria"/>
        <family val="1"/>
        <scheme val="major"/>
      </rPr>
      <t>DOM</t>
    </r>
  </si>
  <si>
    <t>CL</t>
  </si>
  <si>
    <t>(a)</t>
  </si>
  <si>
    <t>20</t>
  </si>
  <si>
    <t>(b)</t>
  </si>
  <si>
    <t>OL</t>
  </si>
  <si>
    <t>1 If data by initial land use are not available, use only "non-FL" in this column.</t>
  </si>
  <si>
    <t>Land Converted to Forest Land: Annual change in carbon stocks in mineral soils</t>
  </si>
  <si>
    <t>Equation 2.25, Formulation B in Box 2.1 of Section 2.3.3.1</t>
  </si>
  <si>
    <t>Subcategories of unique climate, soil, land-use change and management combinations</t>
  </si>
  <si>
    <t>Area for land-use change by climate and soil comb-ination</t>
  </si>
  <si>
    <t>Reference carbon stock for the climate and soil combination</t>
  </si>
  <si>
    <t>Time dependence of stock change factors (D) or number of years over a single inventory time period (T)</t>
  </si>
  <si>
    <t>Stock change factor for land-use system in the last year of an inventory time period</t>
  </si>
  <si>
    <t>Stock change factor for management regime in last year of an inventory period</t>
  </si>
  <si>
    <t>Stock change factor for C input in the last year of the inventory period</t>
  </si>
  <si>
    <t>Stock change factor for land-use system at the beginning of the inventory time period</t>
  </si>
  <si>
    <t>Stock change factor for management regime at the beginning of the inventory time period</t>
  </si>
  <si>
    <t>Stock change factor for C input at the beginning of the inventory time period</t>
  </si>
  <si>
    <t>Annual change in carbon stocks in mineral soils</t>
  </si>
  <si>
    <t>(tonnes C</t>
  </si>
  <si>
    <t>(-)</t>
  </si>
  <si>
    <r>
      <t>ha</t>
    </r>
    <r>
      <rPr>
        <vertAlign val="superscript"/>
        <sz val="10"/>
        <rFont val="Cambria"/>
        <family val="1"/>
        <scheme val="major"/>
      </rPr>
      <t>-1</t>
    </r>
    <r>
      <rPr>
        <sz val="10"/>
        <rFont val="Cambria"/>
        <family val="1"/>
        <scheme val="major"/>
      </rPr>
      <t>)</t>
    </r>
  </si>
  <si>
    <t>Table 2.3; Section 2.3.3.1</t>
  </si>
  <si>
    <t>(default is 20 yr; if T&gt;D then use the value of T)</t>
  </si>
  <si>
    <t>See Chap. 4, Sec. 4.3.3</t>
  </si>
  <si>
    <r>
      <t>∆C</t>
    </r>
    <r>
      <rPr>
        <vertAlign val="subscript"/>
        <sz val="10"/>
        <rFont val="Cambria"/>
        <family val="1"/>
        <scheme val="major"/>
      </rPr>
      <t>Mineral</t>
    </r>
  </si>
  <si>
    <t>as in Eq. 2.25</t>
  </si>
  <si>
    <r>
      <t>A</t>
    </r>
    <r>
      <rPr>
        <b/>
        <vertAlign val="subscript"/>
        <sz val="10"/>
        <rFont val="Cambria"/>
        <family val="1"/>
        <scheme val="major"/>
      </rPr>
      <t>(0)</t>
    </r>
  </si>
  <si>
    <r>
      <t>SOC</t>
    </r>
    <r>
      <rPr>
        <b/>
        <vertAlign val="subscript"/>
        <sz val="10"/>
        <rFont val="Cambria"/>
        <family val="1"/>
        <scheme val="major"/>
      </rPr>
      <t>ref</t>
    </r>
  </si>
  <si>
    <r>
      <t>F</t>
    </r>
    <r>
      <rPr>
        <b/>
        <vertAlign val="subscript"/>
        <sz val="10"/>
        <rFont val="Cambria"/>
        <family val="1"/>
        <scheme val="major"/>
      </rPr>
      <t>LU(0)</t>
    </r>
  </si>
  <si>
    <r>
      <t>F</t>
    </r>
    <r>
      <rPr>
        <b/>
        <vertAlign val="subscript"/>
        <sz val="10"/>
        <rFont val="Cambria"/>
        <family val="1"/>
        <scheme val="major"/>
      </rPr>
      <t>MG(0)</t>
    </r>
  </si>
  <si>
    <r>
      <t>F</t>
    </r>
    <r>
      <rPr>
        <b/>
        <vertAlign val="subscript"/>
        <sz val="10"/>
        <rFont val="Cambria"/>
        <family val="1"/>
        <scheme val="major"/>
      </rPr>
      <t>I(0)</t>
    </r>
  </si>
  <si>
    <r>
      <t>F</t>
    </r>
    <r>
      <rPr>
        <b/>
        <vertAlign val="subscript"/>
        <sz val="10"/>
        <rFont val="Cambria"/>
        <family val="1"/>
        <scheme val="major"/>
      </rPr>
      <t>LU(0-T)</t>
    </r>
  </si>
  <si>
    <r>
      <t>F</t>
    </r>
    <r>
      <rPr>
        <b/>
        <vertAlign val="subscript"/>
        <sz val="10"/>
        <rFont val="Cambria"/>
        <family val="1"/>
        <scheme val="major"/>
      </rPr>
      <t>MG(0-T)</t>
    </r>
  </si>
  <si>
    <r>
      <t>F</t>
    </r>
    <r>
      <rPr>
        <b/>
        <vertAlign val="subscript"/>
        <sz val="10"/>
        <rFont val="Cambria"/>
        <family val="1"/>
        <scheme val="major"/>
      </rPr>
      <t>I(0-T)</t>
    </r>
  </si>
  <si>
    <r>
      <t>∆C</t>
    </r>
    <r>
      <rPr>
        <b/>
        <vertAlign val="subscript"/>
        <sz val="10"/>
        <rFont val="Cambria"/>
        <family val="1"/>
        <scheme val="major"/>
      </rPr>
      <t>Mineral</t>
    </r>
  </si>
  <si>
    <t>Land Converted to Forest Land: Annual change in carbon stocks in organic soils</t>
  </si>
  <si>
    <t>Area of organic soils on converted land</t>
  </si>
  <si>
    <t>Annual carbon loss from organic soils</t>
  </si>
  <si>
    <t>Land Converted to Settlements: Annual change in carbon stocks in biomass</t>
  </si>
  <si>
    <t>Eq. 2.2</t>
  </si>
  <si>
    <t>Equation 2.16</t>
  </si>
  <si>
    <t>Equation 2.15, 2.16</t>
  </si>
  <si>
    <t xml:space="preserve">Annual area of Land Converted to Settlements </t>
  </si>
  <si>
    <t>Biomass stocks before the conversion</t>
  </si>
  <si>
    <t>Annual biomass carbon growth</t>
  </si>
  <si>
    <t>Annual loss of biomass carbon</t>
  </si>
  <si>
    <t>Annual change in carbon stocks in biomass</t>
  </si>
  <si>
    <r>
      <t xml:space="preserve"> yr</t>
    </r>
    <r>
      <rPr>
        <vertAlign val="superscript"/>
        <sz val="10"/>
        <rFont val="Cambria"/>
        <family val="1"/>
        <scheme val="major"/>
      </rPr>
      <t>-1</t>
    </r>
    <r>
      <rPr>
        <sz val="10"/>
        <rFont val="Cambria"/>
        <family val="1"/>
        <scheme val="major"/>
      </rPr>
      <t>)</t>
    </r>
  </si>
  <si>
    <t>Table 5.8</t>
  </si>
  <si>
    <t>National estimates</t>
  </si>
  <si>
    <r>
      <t>DC</t>
    </r>
    <r>
      <rPr>
        <vertAlign val="subscript"/>
        <sz val="10"/>
        <rFont val="Cambria"/>
        <family val="1"/>
        <scheme val="major"/>
      </rPr>
      <t>B</t>
    </r>
    <r>
      <rPr>
        <sz val="10"/>
        <rFont val="Cambria"/>
        <family val="1"/>
        <scheme val="major"/>
      </rPr>
      <t xml:space="preserve"> = ∆C</t>
    </r>
    <r>
      <rPr>
        <vertAlign val="subscript"/>
        <sz val="10"/>
        <rFont val="Cambria"/>
        <family val="1"/>
        <scheme val="major"/>
      </rPr>
      <t>G</t>
    </r>
    <r>
      <rPr>
        <sz val="10"/>
        <rFont val="Cambria"/>
        <family val="1"/>
        <scheme val="major"/>
      </rPr>
      <t xml:space="preserve"> + ((0 - B</t>
    </r>
    <r>
      <rPr>
        <vertAlign val="subscript"/>
        <sz val="10"/>
        <rFont val="Cambria"/>
        <family val="1"/>
        <scheme val="major"/>
      </rPr>
      <t>BEFORE</t>
    </r>
    <r>
      <rPr>
        <sz val="10"/>
        <rFont val="Cambria"/>
        <family val="1"/>
        <scheme val="major"/>
      </rPr>
      <t>) * ΔA</t>
    </r>
    <r>
      <rPr>
        <vertAlign val="subscript"/>
        <sz val="10"/>
        <rFont val="Cambria"/>
        <family val="1"/>
        <scheme val="major"/>
      </rPr>
      <t>TO_OTHERS</t>
    </r>
    <r>
      <rPr>
        <sz val="10"/>
        <rFont val="Cambria"/>
        <family val="1"/>
        <scheme val="major"/>
      </rPr>
      <t xml:space="preserve"> * CF) - ∆C</t>
    </r>
    <r>
      <rPr>
        <vertAlign val="subscript"/>
        <sz val="10"/>
        <rFont val="Cambria"/>
        <family val="1"/>
        <scheme val="major"/>
      </rPr>
      <t>L</t>
    </r>
  </si>
  <si>
    <r>
      <t>ΔA</t>
    </r>
    <r>
      <rPr>
        <b/>
        <vertAlign val="subscript"/>
        <sz val="10"/>
        <rFont val="Cambria"/>
        <family val="1"/>
        <scheme val="major"/>
      </rPr>
      <t>TO_OTHERS</t>
    </r>
  </si>
  <si>
    <r>
      <t>B</t>
    </r>
    <r>
      <rPr>
        <b/>
        <vertAlign val="subscript"/>
        <sz val="10"/>
        <rFont val="Cambria"/>
        <family val="1"/>
        <scheme val="major"/>
      </rPr>
      <t>BEFORE</t>
    </r>
  </si>
  <si>
    <r>
      <t>ΔC</t>
    </r>
    <r>
      <rPr>
        <b/>
        <vertAlign val="subscript"/>
        <sz val="10"/>
        <rFont val="Cambria"/>
        <family val="1"/>
        <scheme val="major"/>
      </rPr>
      <t>G</t>
    </r>
  </si>
  <si>
    <r>
      <t>ΔC</t>
    </r>
    <r>
      <rPr>
        <b/>
        <vertAlign val="subscript"/>
        <sz val="10"/>
        <rFont val="Cambria"/>
        <family val="1"/>
        <scheme val="major"/>
      </rPr>
      <t>L</t>
    </r>
  </si>
  <si>
    <r>
      <t>DC</t>
    </r>
    <r>
      <rPr>
        <b/>
        <vertAlign val="subscript"/>
        <sz val="10"/>
        <rFont val="Cambria"/>
        <family val="1"/>
        <scheme val="major"/>
      </rPr>
      <t>B</t>
    </r>
  </si>
  <si>
    <t>SL</t>
  </si>
  <si>
    <r>
      <t xml:space="preserve">1 </t>
    </r>
    <r>
      <rPr>
        <sz val="10"/>
        <rFont val="Cambria"/>
        <family val="1"/>
        <scheme val="major"/>
      </rPr>
      <t>If data by initial land use are not available, use only "non-SL" in this column.</t>
    </r>
  </si>
  <si>
    <r>
      <t>Land Converted to Settlements: Annual change in carbon stocks in dead organic matter due to land conversion</t>
    </r>
    <r>
      <rPr>
        <b/>
        <vertAlign val="superscript"/>
        <sz val="10"/>
        <rFont val="Cambria"/>
        <family val="1"/>
        <scheme val="major"/>
      </rPr>
      <t>1</t>
    </r>
  </si>
  <si>
    <r>
      <t>Initial land use</t>
    </r>
    <r>
      <rPr>
        <vertAlign val="superscript"/>
        <sz val="10"/>
        <rFont val="Cambria"/>
        <family val="1"/>
        <scheme val="major"/>
      </rPr>
      <t>2</t>
    </r>
  </si>
  <si>
    <t>default =0</t>
  </si>
  <si>
    <t>default = 1</t>
  </si>
  <si>
    <r>
      <t>ΔC</t>
    </r>
    <r>
      <rPr>
        <b/>
        <vertAlign val="subscript"/>
        <sz val="10"/>
        <rFont val="Cambria"/>
        <family val="1"/>
        <scheme val="major"/>
      </rPr>
      <t>DOM</t>
    </r>
    <r>
      <rPr>
        <b/>
        <sz val="10"/>
        <rFont val="Cambria"/>
        <family val="1"/>
        <scheme val="major"/>
      </rPr>
      <t xml:space="preserve"> = A</t>
    </r>
    <r>
      <rPr>
        <b/>
        <vertAlign val="subscript"/>
        <sz val="10"/>
        <rFont val="Cambria"/>
        <family val="1"/>
        <scheme val="major"/>
      </rPr>
      <t>on</t>
    </r>
    <r>
      <rPr>
        <b/>
        <sz val="10"/>
        <rFont val="Cambria"/>
        <family val="1"/>
        <scheme val="major"/>
      </rPr>
      <t xml:space="preserve"> * (C</t>
    </r>
    <r>
      <rPr>
        <b/>
        <vertAlign val="subscript"/>
        <sz val="10"/>
        <rFont val="Cambria"/>
        <family val="1"/>
        <scheme val="major"/>
      </rPr>
      <t>n</t>
    </r>
    <r>
      <rPr>
        <b/>
        <sz val="10"/>
        <rFont val="Cambria"/>
        <family val="1"/>
        <scheme val="major"/>
      </rPr>
      <t xml:space="preserve"> - C</t>
    </r>
    <r>
      <rPr>
        <b/>
        <vertAlign val="subscript"/>
        <sz val="10"/>
        <rFont val="Cambria"/>
        <family val="1"/>
        <scheme val="major"/>
      </rPr>
      <t>o</t>
    </r>
    <r>
      <rPr>
        <b/>
        <sz val="10"/>
        <rFont val="Cambria"/>
        <family val="1"/>
        <scheme val="major"/>
      </rPr>
      <t>) / T</t>
    </r>
    <r>
      <rPr>
        <b/>
        <vertAlign val="subscript"/>
        <sz val="10"/>
        <rFont val="Cambria"/>
        <family val="1"/>
        <scheme val="major"/>
      </rPr>
      <t>on</t>
    </r>
  </si>
  <si>
    <r>
      <t>A</t>
    </r>
    <r>
      <rPr>
        <b/>
        <vertAlign val="subscript"/>
        <sz val="10"/>
        <rFont val="Cambria"/>
        <family val="1"/>
        <scheme val="major"/>
      </rPr>
      <t>on</t>
    </r>
  </si>
  <si>
    <r>
      <t>T</t>
    </r>
    <r>
      <rPr>
        <b/>
        <vertAlign val="subscript"/>
        <sz val="10"/>
        <rFont val="Cambria"/>
        <family val="1"/>
        <scheme val="major"/>
      </rPr>
      <t>on</t>
    </r>
  </si>
  <si>
    <r>
      <t xml:space="preserve">1 </t>
    </r>
    <r>
      <rPr>
        <sz val="10"/>
        <rFont val="Cambria"/>
        <family val="1"/>
        <scheme val="major"/>
      </rPr>
      <t>Use separate worksheets to separately estimate carbon stock changes in deadwood and in litter.</t>
    </r>
  </si>
  <si>
    <r>
      <t xml:space="preserve">2 </t>
    </r>
    <r>
      <rPr>
        <sz val="10"/>
        <rFont val="Cambria"/>
        <family val="1"/>
        <scheme val="major"/>
      </rPr>
      <t>If data by initial land use are not available, use only "non-SL" in this column.</t>
    </r>
  </si>
  <si>
    <t>Land Converted to Settlements: Annual change in carbon stocks in mineral soils</t>
  </si>
  <si>
    <t>Area for land-use change by climate and soil combination</t>
  </si>
  <si>
    <t>Reference carbon stock for the climate/soil combination</t>
  </si>
  <si>
    <t>Table 2.3; Chap. 2, Sec. 2.3.3.1</t>
  </si>
  <si>
    <t>See Chap. 8, Sec.  8.3.3</t>
  </si>
  <si>
    <t>as in Equation 2.25</t>
  </si>
  <si>
    <t>Land Converted to Settlements: Annual change in carbon stocks in organic soils</t>
  </si>
  <si>
    <t>Land area of cultivated organic soil</t>
  </si>
  <si>
    <t>Annual carbon loss from cultivated organic soils</t>
  </si>
  <si>
    <r>
      <t>Initial land use</t>
    </r>
    <r>
      <rPr>
        <vertAlign val="superscript"/>
        <sz val="10"/>
        <rFont val="Cambria"/>
        <family val="1"/>
        <scheme val="major"/>
      </rPr>
      <t xml:space="preserve"> 1</t>
    </r>
  </si>
  <si>
    <t>Table 5.6</t>
  </si>
  <si>
    <t>นาข้าว</t>
  </si>
  <si>
    <t>ปาล์มน้ำมัน</t>
  </si>
  <si>
    <t>ยางพารา</t>
  </si>
  <si>
    <t>พืชไร่</t>
  </si>
  <si>
    <t xml:space="preserve">สวนผักและไม้ดอก </t>
  </si>
  <si>
    <t>Cropland Remaining Cropland</t>
  </si>
  <si>
    <t>Land Converted to Cropland</t>
  </si>
  <si>
    <t>Cropland Remaining Cropland: Annual change in carbon stocks in biomass</t>
  </si>
  <si>
    <r>
      <t>Equation 2.7</t>
    </r>
    <r>
      <rPr>
        <b/>
        <vertAlign val="superscript"/>
        <sz val="9"/>
        <rFont val="Arial"/>
        <family val="2"/>
      </rPr>
      <t>1</t>
    </r>
  </si>
  <si>
    <t>Annual area of Cropland with perennial woody biomass</t>
  </si>
  <si>
    <t>Annual growth rate of perennial woody biomass</t>
  </si>
  <si>
    <t>Annual carbon stock in biomass removed (removal or harvest)</t>
  </si>
  <si>
    <r>
      <t>(tonnes C ha</t>
    </r>
    <r>
      <rPr>
        <vertAlign val="superscript"/>
        <sz val="9"/>
        <rFont val="Arial"/>
        <family val="2"/>
      </rPr>
      <t>-1</t>
    </r>
    <r>
      <rPr>
        <sz val="9"/>
        <rFont val="Arial"/>
        <family val="2"/>
      </rPr>
      <t xml:space="preserve"> yr</t>
    </r>
    <r>
      <rPr>
        <vertAlign val="superscript"/>
        <sz val="9"/>
        <rFont val="Arial"/>
        <family val="2"/>
      </rPr>
      <t>-1</t>
    </r>
    <r>
      <rPr>
        <sz val="9"/>
        <rFont val="Arial"/>
        <family val="2"/>
      </rPr>
      <t>)</t>
    </r>
  </si>
  <si>
    <r>
      <t>(tonnes C yr</t>
    </r>
    <r>
      <rPr>
        <vertAlign val="superscript"/>
        <sz val="9"/>
        <rFont val="Arial"/>
        <family val="2"/>
      </rPr>
      <t>-1</t>
    </r>
    <r>
      <rPr>
        <sz val="9"/>
        <rFont val="Arial"/>
        <family val="2"/>
      </rPr>
      <t>)</t>
    </r>
  </si>
  <si>
    <t>National estimates, or Table 5.1</t>
  </si>
  <si>
    <r>
      <t>∆C</t>
    </r>
    <r>
      <rPr>
        <b/>
        <vertAlign val="subscript"/>
        <sz val="9"/>
        <rFont val="Arial"/>
        <family val="2"/>
      </rPr>
      <t>B</t>
    </r>
    <r>
      <rPr>
        <b/>
        <sz val="9"/>
        <rFont val="Arial"/>
        <family val="2"/>
      </rPr>
      <t xml:space="preserve"> = A * (ΔC</t>
    </r>
    <r>
      <rPr>
        <b/>
        <vertAlign val="subscript"/>
        <sz val="9"/>
        <rFont val="Arial"/>
        <family val="2"/>
      </rPr>
      <t>G</t>
    </r>
    <r>
      <rPr>
        <b/>
        <sz val="9"/>
        <rFont val="Arial"/>
        <family val="2"/>
      </rPr>
      <t xml:space="preserve"> - ΔC</t>
    </r>
    <r>
      <rPr>
        <b/>
        <vertAlign val="subscript"/>
        <sz val="9"/>
        <rFont val="Arial"/>
        <family val="2"/>
      </rPr>
      <t>L</t>
    </r>
    <r>
      <rPr>
        <b/>
        <sz val="9"/>
        <rFont val="Arial"/>
        <family val="2"/>
      </rPr>
      <t>)</t>
    </r>
  </si>
  <si>
    <r>
      <t>ΔC</t>
    </r>
    <r>
      <rPr>
        <b/>
        <vertAlign val="subscript"/>
        <sz val="9"/>
        <rFont val="Arial"/>
        <family val="2"/>
      </rPr>
      <t>G</t>
    </r>
  </si>
  <si>
    <r>
      <t>ΔC</t>
    </r>
    <r>
      <rPr>
        <b/>
        <vertAlign val="subscript"/>
        <sz val="9"/>
        <rFont val="Arial"/>
        <family val="2"/>
      </rPr>
      <t>L</t>
    </r>
  </si>
  <si>
    <r>
      <t>D</t>
    </r>
    <r>
      <rPr>
        <b/>
        <sz val="9"/>
        <rFont val="Arial"/>
        <family val="2"/>
      </rPr>
      <t>C</t>
    </r>
    <r>
      <rPr>
        <b/>
        <vertAlign val="subscript"/>
        <sz val="9"/>
        <rFont val="Arial"/>
        <family val="2"/>
      </rPr>
      <t>B</t>
    </r>
  </si>
  <si>
    <t>Oil plam</t>
  </si>
  <si>
    <t>Rubber</t>
  </si>
  <si>
    <t>Orchard+ other Perennial</t>
  </si>
  <si>
    <t>Agroforest</t>
  </si>
  <si>
    <t xml:space="preserve">Other </t>
  </si>
  <si>
    <r>
      <t>1</t>
    </r>
    <r>
      <rPr>
        <sz val="10"/>
        <rFont val="Cambria"/>
        <family val="1"/>
        <scheme val="major"/>
      </rPr>
      <t xml:space="preserve"> Multiplying per ha values from Table 5.1 is required here according to text in Section 5.2.1.                                                                                       
</t>
    </r>
    <r>
      <rPr>
        <vertAlign val="superscript"/>
        <sz val="10"/>
        <rFont val="Cambria"/>
        <family val="1"/>
        <scheme val="major"/>
      </rPr>
      <t>2</t>
    </r>
    <r>
      <rPr>
        <sz val="10"/>
        <rFont val="Cambria"/>
        <family val="1"/>
        <scheme val="major"/>
      </rPr>
      <t>Annual growth of perennial woody biomass (ΔC</t>
    </r>
    <r>
      <rPr>
        <vertAlign val="subscript"/>
        <sz val="10"/>
        <rFont val="Cambria"/>
        <family val="1"/>
        <scheme val="major"/>
      </rPr>
      <t>G</t>
    </r>
    <r>
      <rPr>
        <sz val="10"/>
        <rFont val="Cambria"/>
        <family val="1"/>
        <scheme val="major"/>
      </rPr>
      <t xml:space="preserve">) is equal to the area of perennial crop that is not mature times biomass accumulation rate (G) using a national estimate or data from Table 5.1. 
</t>
    </r>
    <r>
      <rPr>
        <vertAlign val="superscript"/>
        <sz val="10"/>
        <rFont val="Cambria"/>
        <family val="1"/>
        <scheme val="major"/>
      </rPr>
      <t>3</t>
    </r>
    <r>
      <rPr>
        <sz val="10"/>
        <rFont val="Cambria"/>
        <family val="1"/>
        <scheme val="major"/>
      </rPr>
      <t>Annual carbon stock in biomass removed (Δ C</t>
    </r>
    <r>
      <rPr>
        <vertAlign val="subscript"/>
        <sz val="10"/>
        <rFont val="Cambria"/>
        <family val="1"/>
        <scheme val="major"/>
      </rPr>
      <t>L</t>
    </r>
    <r>
      <rPr>
        <sz val="10"/>
        <rFont val="Cambria"/>
        <family val="1"/>
        <scheme val="major"/>
      </rPr>
      <t xml:space="preserve">) is equal to the area of perennial crops that is annually harvested times the area-specific carbon stock value that is lost (L) using a national estimate or biomass carbon loss data from Table 5.1.                                                                                               
</t>
    </r>
    <r>
      <rPr>
        <vertAlign val="superscript"/>
        <sz val="10"/>
        <rFont val="Cambria"/>
        <family val="1"/>
        <scheme val="major"/>
      </rPr>
      <t xml:space="preserve">4 </t>
    </r>
    <r>
      <rPr>
        <sz val="10"/>
        <rFont val="Cambria"/>
        <family val="1"/>
        <scheme val="major"/>
      </rPr>
      <t>If the area of perennial crops that was harvested in the inventory year equals the mean harvested area over the entire harvest cycle of the perennial crop, the annual change in carbon stocks in biomass can be taken to be zero, and ΔC</t>
    </r>
    <r>
      <rPr>
        <vertAlign val="subscript"/>
        <sz val="10"/>
        <rFont val="Cambria"/>
        <family val="1"/>
        <scheme val="major"/>
      </rPr>
      <t xml:space="preserve">G </t>
    </r>
    <r>
      <rPr>
        <sz val="10"/>
        <rFont val="Cambria"/>
        <family val="1"/>
        <scheme val="major"/>
      </rPr>
      <t>and ΔC</t>
    </r>
    <r>
      <rPr>
        <vertAlign val="subscript"/>
        <sz val="10"/>
        <rFont val="Cambria"/>
        <family val="1"/>
        <scheme val="major"/>
      </rPr>
      <t>L</t>
    </r>
    <r>
      <rPr>
        <sz val="10"/>
        <rFont val="Cambria"/>
        <family val="1"/>
        <scheme val="major"/>
      </rPr>
      <t xml:space="preserve"> do not need to be estimated.</t>
    </r>
  </si>
  <si>
    <t>Cropland Remaining Cropland: Annual change in carbon stocks in mineral soils</t>
  </si>
  <si>
    <t>Equation 2.25, Formulation A in Box 2.1 of Section 2.3.3.1</t>
  </si>
  <si>
    <t>Area in the last year of an inventory period</t>
  </si>
  <si>
    <t>Area at the beginning of an inventory period</t>
  </si>
  <si>
    <t>Reference carbon stock in the last year of an inventory period</t>
  </si>
  <si>
    <t>Reference carbon stock at the beginning of an inventory period</t>
  </si>
  <si>
    <t>Stock change factor for land-use system or sub-system</t>
  </si>
  <si>
    <t>Stock change factor for management regime</t>
  </si>
  <si>
    <t>Stock change factor for input of organic matter</t>
  </si>
  <si>
    <t>Table 2.3</t>
  </si>
  <si>
    <t>Table 5.5</t>
  </si>
  <si>
    <r>
      <t>∆</t>
    </r>
    <r>
      <rPr>
        <sz val="10"/>
        <rFont val="Cambria"/>
        <family val="1"/>
        <scheme val="major"/>
      </rPr>
      <t>C</t>
    </r>
    <r>
      <rPr>
        <vertAlign val="subscript"/>
        <sz val="10"/>
        <rFont val="Cambria"/>
        <family val="1"/>
        <scheme val="major"/>
      </rPr>
      <t>Mineral</t>
    </r>
    <r>
      <rPr>
        <sz val="10"/>
        <rFont val="Cambria"/>
        <family val="1"/>
        <scheme val="major"/>
      </rPr>
      <t xml:space="preserve"> as in Equation 2.25</t>
    </r>
  </si>
  <si>
    <r>
      <t>A</t>
    </r>
    <r>
      <rPr>
        <b/>
        <vertAlign val="subscript"/>
        <sz val="10"/>
        <rFont val="Cambria"/>
        <family val="1"/>
        <scheme val="major"/>
      </rPr>
      <t>(0-T)</t>
    </r>
  </si>
  <si>
    <r>
      <t>SOC</t>
    </r>
    <r>
      <rPr>
        <b/>
        <vertAlign val="subscript"/>
        <sz val="10"/>
        <rFont val="Cambria"/>
        <family val="1"/>
        <scheme val="major"/>
      </rPr>
      <t>ref(0)</t>
    </r>
  </si>
  <si>
    <r>
      <t>SOC</t>
    </r>
    <r>
      <rPr>
        <b/>
        <vertAlign val="subscript"/>
        <sz val="10"/>
        <rFont val="Cambria"/>
        <family val="1"/>
        <scheme val="major"/>
      </rPr>
      <t>ref(T-0)</t>
    </r>
  </si>
  <si>
    <r>
      <t>F</t>
    </r>
    <r>
      <rPr>
        <b/>
        <vertAlign val="subscript"/>
        <sz val="10"/>
        <rFont val="Cambria"/>
        <family val="1"/>
        <scheme val="major"/>
      </rPr>
      <t>LU</t>
    </r>
  </si>
  <si>
    <r>
      <t>F</t>
    </r>
    <r>
      <rPr>
        <b/>
        <vertAlign val="subscript"/>
        <sz val="10"/>
        <rFont val="Cambria"/>
        <family val="1"/>
        <scheme val="major"/>
      </rPr>
      <t>MG</t>
    </r>
  </si>
  <si>
    <r>
      <t>F</t>
    </r>
    <r>
      <rPr>
        <b/>
        <vertAlign val="subscript"/>
        <sz val="10"/>
        <rFont val="Cambria"/>
        <family val="1"/>
        <scheme val="major"/>
      </rPr>
      <t>I</t>
    </r>
  </si>
  <si>
    <t>Annual long term crop</t>
  </si>
  <si>
    <t>Paddy</t>
  </si>
  <si>
    <t>Perennial tree crop</t>
  </si>
  <si>
    <t xml:space="preserve">Annual row crop </t>
  </si>
  <si>
    <t>Set aside</t>
  </si>
  <si>
    <t>Cropland Remaining Cropland: Annual change in carbon stocks in organic soils</t>
  </si>
  <si>
    <t>Land Converted to Cropland: Annual change in carbon stocks in biomass</t>
  </si>
  <si>
    <t xml:space="preserve">Annual area of Land Converted to Cropland </t>
  </si>
  <si>
    <r>
      <t>Annual biomass carbon growth</t>
    </r>
    <r>
      <rPr>
        <vertAlign val="superscript"/>
        <sz val="10"/>
        <rFont val="Cambria"/>
        <family val="1"/>
        <scheme val="major"/>
      </rPr>
      <t>2</t>
    </r>
  </si>
  <si>
    <r>
      <t>Annual loss of biomass carbon</t>
    </r>
    <r>
      <rPr>
        <vertAlign val="superscript"/>
        <sz val="10"/>
        <rFont val="Cambria"/>
        <family val="1"/>
        <scheme val="major"/>
      </rPr>
      <t>3</t>
    </r>
  </si>
  <si>
    <t>(tonnes</t>
  </si>
  <si>
    <r>
      <t>dm ha</t>
    </r>
    <r>
      <rPr>
        <vertAlign val="superscript"/>
        <sz val="10"/>
        <rFont val="Cambria"/>
        <family val="1"/>
        <scheme val="major"/>
      </rPr>
      <t>-1</t>
    </r>
    <r>
      <rPr>
        <sz val="10"/>
        <rFont val="Cambria"/>
        <family val="1"/>
        <scheme val="major"/>
      </rPr>
      <t>)</t>
    </r>
  </si>
  <si>
    <t>National estimates, or Table 5.9</t>
  </si>
  <si>
    <r>
      <t>DC</t>
    </r>
    <r>
      <rPr>
        <vertAlign val="subscript"/>
        <sz val="10"/>
        <rFont val="Cambria"/>
        <family val="1"/>
        <scheme val="major"/>
      </rPr>
      <t>B</t>
    </r>
    <r>
      <rPr>
        <sz val="10"/>
        <rFont val="Cambria"/>
        <family val="1"/>
        <scheme val="major"/>
      </rPr>
      <t xml:space="preserve"> = ∆C</t>
    </r>
    <r>
      <rPr>
        <vertAlign val="subscript"/>
        <sz val="10"/>
        <rFont val="Cambria"/>
        <family val="1"/>
        <scheme val="major"/>
      </rPr>
      <t>G</t>
    </r>
    <r>
      <rPr>
        <sz val="10"/>
        <rFont val="Cambria"/>
        <family val="1"/>
        <scheme val="major"/>
      </rPr>
      <t xml:space="preserve"> + ((0 - B</t>
    </r>
    <r>
      <rPr>
        <vertAlign val="subscript"/>
        <sz val="10"/>
        <rFont val="Cambria"/>
        <family val="1"/>
        <scheme val="major"/>
      </rPr>
      <t>BEFORE</t>
    </r>
    <r>
      <rPr>
        <sz val="10"/>
        <rFont val="Cambria"/>
        <family val="1"/>
        <scheme val="major"/>
      </rPr>
      <t>) * ΔA</t>
    </r>
    <r>
      <rPr>
        <vertAlign val="subscript"/>
        <sz val="10"/>
        <rFont val="Cambria"/>
        <family val="1"/>
        <scheme val="major"/>
      </rPr>
      <t>TO_OTHER</t>
    </r>
    <r>
      <rPr>
        <sz val="10"/>
        <rFont val="Cambria"/>
        <family val="1"/>
        <scheme val="major"/>
      </rPr>
      <t xml:space="preserve"> ) * CF - ∆C</t>
    </r>
    <r>
      <rPr>
        <vertAlign val="subscript"/>
        <sz val="10"/>
        <rFont val="Cambria"/>
        <family val="1"/>
        <scheme val="major"/>
      </rPr>
      <t>L</t>
    </r>
  </si>
  <si>
    <t>Annual row crop</t>
  </si>
  <si>
    <t>set aside</t>
  </si>
  <si>
    <r>
      <rPr>
        <vertAlign val="superscript"/>
        <sz val="10"/>
        <rFont val="Cambria"/>
        <family val="1"/>
        <scheme val="major"/>
      </rPr>
      <t>1</t>
    </r>
    <r>
      <rPr>
        <sz val="10"/>
        <rFont val="Cambria"/>
        <family val="1"/>
        <scheme val="major"/>
      </rPr>
      <t xml:space="preserve"> If data by initial land use are not available, use only "non-CL" in this column.                                                                                                                                                                                                                                                                                 
</t>
    </r>
    <r>
      <rPr>
        <vertAlign val="superscript"/>
        <sz val="10"/>
        <rFont val="Cambria"/>
        <family val="1"/>
        <scheme val="major"/>
      </rPr>
      <t>2</t>
    </r>
    <r>
      <rPr>
        <sz val="10"/>
        <rFont val="Cambria"/>
        <family val="1"/>
        <scheme val="major"/>
      </rPr>
      <t>Annual biomass carbon growth (ΔC</t>
    </r>
    <r>
      <rPr>
        <vertAlign val="subscript"/>
        <sz val="10"/>
        <rFont val="Cambria"/>
        <family val="1"/>
        <scheme val="major"/>
      </rPr>
      <t>G</t>
    </r>
    <r>
      <rPr>
        <sz val="10"/>
        <rFont val="Cambria"/>
        <family val="1"/>
        <scheme val="major"/>
      </rPr>
      <t xml:space="preserve">) is equal to the area of perennial crop that is not mature times biomass accumulation rate (G) using a national estimate or data from Table 5.9.                                                                        
</t>
    </r>
    <r>
      <rPr>
        <vertAlign val="superscript"/>
        <sz val="10"/>
        <rFont val="Cambria"/>
        <family val="1"/>
        <scheme val="major"/>
      </rPr>
      <t>3</t>
    </r>
    <r>
      <rPr>
        <sz val="10"/>
        <rFont val="Cambria"/>
        <family val="1"/>
        <scheme val="major"/>
      </rPr>
      <t xml:space="preserve"> Annual carbon stock in biomass removed (ΔC</t>
    </r>
    <r>
      <rPr>
        <vertAlign val="subscript"/>
        <sz val="10"/>
        <rFont val="Cambria"/>
        <family val="1"/>
        <scheme val="major"/>
      </rPr>
      <t>L</t>
    </r>
    <r>
      <rPr>
        <sz val="10"/>
        <rFont val="Cambria"/>
        <family val="1"/>
        <scheme val="major"/>
      </rPr>
      <t>) is equal to the area of perennial crops that is annually harvested times the area-specific carbon stock value that is lost (L) using a national estimate or biomass carbon loss
data from Table 5.1.</t>
    </r>
  </si>
  <si>
    <r>
      <t>Land Converted to Cropland: Annual change in carbon stocks in dead organic matter due to land conversion</t>
    </r>
    <r>
      <rPr>
        <b/>
        <vertAlign val="superscript"/>
        <sz val="10"/>
        <color theme="0"/>
        <rFont val="Cambria"/>
        <family val="1"/>
        <scheme val="major"/>
      </rPr>
      <t>1</t>
    </r>
  </si>
  <si>
    <t>Dead wood/litter stock under the old land-use category</t>
  </si>
  <si>
    <t>Dead wood/litter stock under the new land-use category</t>
  </si>
  <si>
    <t>default value is 1</t>
  </si>
  <si>
    <r>
      <t>ΔC</t>
    </r>
    <r>
      <rPr>
        <vertAlign val="subscript"/>
        <sz val="10"/>
        <rFont val="Cambria"/>
        <family val="1"/>
        <scheme val="major"/>
      </rPr>
      <t>DOM</t>
    </r>
    <r>
      <rPr>
        <sz val="10"/>
        <rFont val="Cambria"/>
        <family val="1"/>
        <scheme val="major"/>
      </rPr>
      <t xml:space="preserve"> = A</t>
    </r>
    <r>
      <rPr>
        <vertAlign val="subscript"/>
        <sz val="10"/>
        <rFont val="Cambria"/>
        <family val="1"/>
        <scheme val="major"/>
      </rPr>
      <t>on</t>
    </r>
    <r>
      <rPr>
        <sz val="10"/>
        <rFont val="Cambria"/>
        <family val="1"/>
        <scheme val="major"/>
      </rPr>
      <t xml:space="preserve"> * (C</t>
    </r>
    <r>
      <rPr>
        <vertAlign val="subscript"/>
        <sz val="10"/>
        <rFont val="Cambria"/>
        <family val="1"/>
        <scheme val="major"/>
      </rPr>
      <t>n</t>
    </r>
    <r>
      <rPr>
        <sz val="10"/>
        <rFont val="Cambria"/>
        <family val="1"/>
        <scheme val="major"/>
      </rPr>
      <t xml:space="preserve"> - C</t>
    </r>
    <r>
      <rPr>
        <vertAlign val="subscript"/>
        <sz val="10"/>
        <rFont val="Cambria"/>
        <family val="1"/>
        <scheme val="major"/>
      </rPr>
      <t>o</t>
    </r>
    <r>
      <rPr>
        <sz val="10"/>
        <rFont val="Cambria"/>
        <family val="1"/>
        <scheme val="major"/>
      </rPr>
      <t>) / T</t>
    </r>
    <r>
      <rPr>
        <vertAlign val="subscript"/>
        <sz val="10"/>
        <rFont val="Cambria"/>
        <family val="1"/>
        <scheme val="major"/>
      </rPr>
      <t>on</t>
    </r>
  </si>
  <si>
    <r>
      <t xml:space="preserve">2 </t>
    </r>
    <r>
      <rPr>
        <sz val="10"/>
        <rFont val="Cambria"/>
        <family val="1"/>
        <scheme val="major"/>
      </rPr>
      <t>If data by initial land use are not available, use only "non-CL" in this column.</t>
    </r>
  </si>
  <si>
    <t>Cn   default = 0   หมายถึง พื้นที่ที่ถูกเปลี่ยนแปลงไปทำพื้นที่เกษตร จะต้องมีการ clear ที่ดินเตรียมเพาะปลูก จึงไม่มี Dead wood/litter หลงเหลืออยู่ในพื้นที่</t>
  </si>
  <si>
    <t>Land Converted to Cropland: Annual change in carbon stocks in mineral soils</t>
  </si>
  <si>
    <t>Eq.  2.2</t>
  </si>
  <si>
    <t>Table 2.3; Chap 2, Sec. 2.3.3.1</t>
  </si>
  <si>
    <t xml:space="preserve">Table 5.5 </t>
  </si>
  <si>
    <t>Table 5.10</t>
  </si>
  <si>
    <r>
      <t xml:space="preserve">1 </t>
    </r>
    <r>
      <rPr>
        <sz val="10"/>
        <rFont val="Cambria"/>
        <family val="1"/>
        <scheme val="major"/>
      </rPr>
      <t>If data by initial land use are not available, use only "non-CL" in this column.</t>
    </r>
  </si>
  <si>
    <t>FLU(0-T) : All Type of CL = 0.87 มาจากการหารเฉลี่ย</t>
  </si>
  <si>
    <t>Land Converted to Cropland: Annual change in carbon stocks in organic soils</t>
  </si>
  <si>
    <r>
      <t>L</t>
    </r>
    <r>
      <rPr>
        <vertAlign val="subscript"/>
        <sz val="10"/>
        <rFont val="Cambria"/>
        <family val="1"/>
        <scheme val="major"/>
      </rPr>
      <t>Organic</t>
    </r>
    <r>
      <rPr>
        <sz val="10"/>
        <rFont val="Cambria"/>
        <family val="1"/>
        <scheme val="major"/>
      </rPr>
      <t xml:space="preserve"> = A * EF</t>
    </r>
  </si>
  <si>
    <t>การจัดการเพาะปลูกข้าว (Rice cultivation)</t>
  </si>
  <si>
    <t>ไร่</t>
  </si>
  <si>
    <t>ลำดับที่</t>
  </si>
  <si>
    <t>ประเภทนาข้าว</t>
  </si>
  <si>
    <t>จำนวนครั้งที่เพาะปลูก</t>
  </si>
  <si>
    <t xml:space="preserve">นาปีในเขตชลประทานขังน้ำและปล่อยน้ำออก 1 ครั้ง </t>
  </si>
  <si>
    <t xml:space="preserve">นาปีในเขตชลประทานขังน้ำและปล่อยน้ำออกมากกว่า 1 ครั้ง </t>
  </si>
  <si>
    <t>นาปีนอกเขตชลประทาน ความลึกน้ำไม่เกิน 50 เซนติเมตร</t>
  </si>
  <si>
    <t>นาปีนอกเขตชลประทาน ความลึกน้ำมากกว่า 50 เซนติเมตร</t>
  </si>
  <si>
    <t xml:space="preserve">นาปรังในเขตชลประทานขังน้ำและปล่อยน้ำออก 1 ครั้ง </t>
  </si>
  <si>
    <t xml:space="preserve">ข้าวไร่ </t>
  </si>
  <si>
    <t>Rice Ecosystem</t>
  </si>
  <si>
    <r>
      <t>Sub categories for reporting year</t>
    </r>
    <r>
      <rPr>
        <b/>
        <vertAlign val="superscript"/>
        <sz val="10"/>
        <color theme="1"/>
        <rFont val="Cambria"/>
        <family val="1"/>
        <scheme val="major"/>
      </rPr>
      <t>1 </t>
    </r>
  </si>
  <si>
    <t>Cultivation period of rice</t>
  </si>
  <si>
    <t>Baseline emission factor for continuously flooded fields without organic amendments</t>
  </si>
  <si>
    <t>Scaling factor to account for the differences in water regime during the cultivation period</t>
  </si>
  <si>
    <t xml:space="preserve">Scaling factor to account for the differences in water regime in the pre-season before the cultivation period </t>
  </si>
  <si>
    <t>Application rate of organic amendment in fresh weight</t>
  </si>
  <si>
    <t>Conversion factor for organic amendment</t>
  </si>
  <si>
    <t>Scaling factor for both types and amount of organic amendment applied</t>
  </si>
  <si>
    <t>Scaling factor for soil type, rice cultivar, etc., if available</t>
  </si>
  <si>
    <t>Adjusted daily emission factor for a particular harvested area</t>
  </si>
  <si>
    <t>(day)</t>
  </si>
  <si>
    <r>
      <t>kg CH</t>
    </r>
    <r>
      <rPr>
        <b/>
        <vertAlign val="subscript"/>
        <sz val="10"/>
        <color theme="1"/>
        <rFont val="Cambria"/>
        <family val="1"/>
        <scheme val="major"/>
      </rPr>
      <t>4</t>
    </r>
    <r>
      <rPr>
        <b/>
        <sz val="10"/>
        <color theme="1"/>
        <rFont val="Cambria"/>
        <family val="1"/>
        <scheme val="major"/>
      </rPr>
      <t xml:space="preserve"> ha</t>
    </r>
    <r>
      <rPr>
        <b/>
        <vertAlign val="superscript"/>
        <sz val="10"/>
        <color theme="1"/>
        <rFont val="Cambria"/>
        <family val="1"/>
        <scheme val="major"/>
      </rPr>
      <t>-1</t>
    </r>
    <r>
      <rPr>
        <b/>
        <sz val="10"/>
        <color theme="1"/>
        <rFont val="Cambria"/>
        <family val="1"/>
        <scheme val="major"/>
      </rPr>
      <t xml:space="preserve"> day</t>
    </r>
    <r>
      <rPr>
        <b/>
        <vertAlign val="superscript"/>
        <sz val="10"/>
        <color theme="1"/>
        <rFont val="Cambria"/>
        <family val="1"/>
        <scheme val="major"/>
      </rPr>
      <t>-1</t>
    </r>
  </si>
  <si>
    <r>
      <t>(tonnes ha</t>
    </r>
    <r>
      <rPr>
        <b/>
        <vertAlign val="superscript"/>
        <sz val="10"/>
        <color theme="1"/>
        <rFont val="Cambria"/>
        <family val="1"/>
        <scheme val="major"/>
      </rPr>
      <t>-1</t>
    </r>
    <r>
      <rPr>
        <b/>
        <sz val="10"/>
        <color theme="1"/>
        <rFont val="Cambria"/>
        <family val="1"/>
        <scheme val="major"/>
      </rPr>
      <t>)</t>
    </r>
  </si>
  <si>
    <t>Table 5.11</t>
  </si>
  <si>
    <t>Table 5.12</t>
  </si>
  <si>
    <t>Table 5.13</t>
  </si>
  <si>
    <t>Table 5.14</t>
  </si>
  <si>
    <r>
      <t>Sfo = (1+ROAi * CFOAi)</t>
    </r>
    <r>
      <rPr>
        <b/>
        <vertAlign val="superscript"/>
        <sz val="10"/>
        <color theme="1"/>
        <rFont val="Cambria"/>
        <family val="1"/>
        <scheme val="major"/>
      </rPr>
      <t>0.59</t>
    </r>
  </si>
  <si>
    <t>IPCC not declare</t>
  </si>
  <si>
    <t>EFi = EFc * SFw * SFp * SFo * SFs,r</t>
  </si>
  <si>
    <t>t</t>
  </si>
  <si>
    <t>EFc</t>
  </si>
  <si>
    <t>SFW</t>
  </si>
  <si>
    <t>SFp</t>
  </si>
  <si>
    <t>ROAi</t>
  </si>
  <si>
    <t>CFOAi</t>
  </si>
  <si>
    <t>SFo</t>
  </si>
  <si>
    <t>SFs,r</t>
  </si>
  <si>
    <t>EFi</t>
  </si>
  <si>
    <t>Irrigated *</t>
  </si>
  <si>
    <t>Continuously flooded</t>
  </si>
  <si>
    <t>Intermittently flooded- Single aeration</t>
  </si>
  <si>
    <t>Intermittently flooded- Multiple aeration</t>
  </si>
  <si>
    <t>Rainfed and deep water</t>
  </si>
  <si>
    <t>Regular rainfed (water level 0 - 50 cm)</t>
  </si>
  <si>
    <t>Drought prone</t>
  </si>
  <si>
    <t>Deep water (water level &gt; 50 cm)</t>
  </si>
  <si>
    <t>Upland</t>
  </si>
  <si>
    <t>Upalnd rice</t>
  </si>
  <si>
    <t>Second rice Irrigation</t>
  </si>
  <si>
    <t>แหล่งที่มา : IPCC Guideline 2006 Volume 4 Table 5.11 - 5.14</t>
  </si>
  <si>
    <t>1 Rice ecosystem can be stratified according to water regimes, type and amount of organic amendments, and other conditions under which CH4 emissions from rice may vary.  2 Land should be stratified according to ecosystems, water regimes, type and amount of organic amendments, and other conditions under which CH4 emissions from rice may vary. The disaggregation of the annual harvest area of rice needs to be done at least for three baseline water regimes including irrigated, rainfed, and upland. Within each stratum, sub-strata should be separated for each type of organic amendment (see Equation 5.3)</t>
  </si>
  <si>
    <t>Remark:</t>
  </si>
  <si>
    <t>ROA = 200 kg / ไร่</t>
  </si>
  <si>
    <t>Second rice Irrigation = 30% of Irrigated Rice</t>
  </si>
  <si>
    <t>Irrigated * Assume ให้ไทยทั้งหมดเป็นแบบ Intermittently flooded- Single aeration</t>
  </si>
  <si>
    <t>การเผาชีวมวล (Biomass burning)</t>
  </si>
  <si>
    <t>Biomass Burning in Forest Land (Forest Land Remaining Forest Land)</t>
  </si>
  <si>
    <t xml:space="preserve">พื้นที่ป่าที่ถูกเผาไหม้ </t>
  </si>
  <si>
    <t>Equation 2.27</t>
  </si>
  <si>
    <r>
      <t>Subcategories for reporting year</t>
    </r>
    <r>
      <rPr>
        <vertAlign val="superscript"/>
        <sz val="10"/>
        <rFont val="Cambria"/>
        <family val="1"/>
        <scheme val="major"/>
      </rPr>
      <t>1</t>
    </r>
  </si>
  <si>
    <t>Area burnt</t>
  </si>
  <si>
    <r>
      <t>Mass of fuel available for combustion</t>
    </r>
    <r>
      <rPr>
        <vertAlign val="superscript"/>
        <sz val="10"/>
        <rFont val="Cambria"/>
        <family val="1"/>
        <scheme val="major"/>
      </rPr>
      <t>2</t>
    </r>
  </si>
  <si>
    <r>
      <t>Combustion factor</t>
    </r>
    <r>
      <rPr>
        <vertAlign val="superscript"/>
        <sz val="10"/>
        <rFont val="Cambria"/>
        <family val="1"/>
        <scheme val="major"/>
      </rPr>
      <t>2</t>
    </r>
  </si>
  <si>
    <t>Emission factor for each GHG</t>
  </si>
  <si>
    <r>
      <t>CH</t>
    </r>
    <r>
      <rPr>
        <vertAlign val="subscript"/>
        <sz val="10"/>
        <rFont val="Cambria"/>
        <family val="1"/>
        <scheme val="major"/>
      </rPr>
      <t>4</t>
    </r>
    <r>
      <rPr>
        <sz val="10"/>
        <rFont val="Cambria"/>
        <family val="1"/>
        <scheme val="major"/>
      </rPr>
      <t xml:space="preserve"> emissions from fire</t>
    </r>
  </si>
  <si>
    <t>CO emissions from fire</t>
  </si>
  <si>
    <r>
      <t>N</t>
    </r>
    <r>
      <rPr>
        <vertAlign val="subscript"/>
        <sz val="10"/>
        <rFont val="Cambria"/>
        <family val="1"/>
        <scheme val="major"/>
      </rPr>
      <t>2</t>
    </r>
    <r>
      <rPr>
        <sz val="10"/>
        <rFont val="Cambria"/>
        <family val="1"/>
        <scheme val="major"/>
      </rPr>
      <t>O emissions from fire</t>
    </r>
  </si>
  <si>
    <r>
      <t>NO</t>
    </r>
    <r>
      <rPr>
        <vertAlign val="subscript"/>
        <sz val="10"/>
        <rFont val="Cambria"/>
        <family val="1"/>
        <scheme val="major"/>
      </rPr>
      <t>x</t>
    </r>
    <r>
      <rPr>
        <sz val="10"/>
        <rFont val="Cambria"/>
        <family val="1"/>
        <scheme val="major"/>
      </rPr>
      <t xml:space="preserve"> emissions from fire</t>
    </r>
  </si>
  <si>
    <t xml:space="preserve">(tonnes </t>
  </si>
  <si>
    <t>[g GHG</t>
  </si>
  <si>
    <r>
      <t>(tonnes CH</t>
    </r>
    <r>
      <rPr>
        <vertAlign val="subscript"/>
        <sz val="10"/>
        <rFont val="Cambria"/>
        <family val="1"/>
        <scheme val="major"/>
      </rPr>
      <t>4</t>
    </r>
    <r>
      <rPr>
        <sz val="10"/>
        <rFont val="Cambria"/>
        <family val="1"/>
        <scheme val="major"/>
      </rPr>
      <t>)</t>
    </r>
  </si>
  <si>
    <t>(tonnes CO)</t>
  </si>
  <si>
    <r>
      <t>(tonnes N</t>
    </r>
    <r>
      <rPr>
        <vertAlign val="subscript"/>
        <sz val="10"/>
        <rFont val="Cambria"/>
        <family val="1"/>
        <scheme val="major"/>
      </rPr>
      <t>2</t>
    </r>
    <r>
      <rPr>
        <sz val="10"/>
        <rFont val="Cambria"/>
        <family val="1"/>
        <scheme val="major"/>
      </rPr>
      <t>O)</t>
    </r>
  </si>
  <si>
    <r>
      <t>(tonnes NO</t>
    </r>
    <r>
      <rPr>
        <vertAlign val="subscript"/>
        <sz val="10"/>
        <rFont val="Cambria"/>
        <family val="1"/>
        <scheme val="major"/>
      </rPr>
      <t>x</t>
    </r>
    <r>
      <rPr>
        <sz val="10"/>
        <rFont val="Cambria"/>
        <family val="1"/>
        <scheme val="major"/>
      </rPr>
      <t>)</t>
    </r>
  </si>
  <si>
    <r>
      <t>(kg dm burnt)</t>
    </r>
    <r>
      <rPr>
        <vertAlign val="superscript"/>
        <sz val="10"/>
        <rFont val="Cambria"/>
        <family val="1"/>
        <scheme val="major"/>
      </rPr>
      <t>-1</t>
    </r>
    <r>
      <rPr>
        <sz val="10"/>
        <rFont val="Cambria"/>
        <family val="1"/>
        <scheme val="major"/>
      </rPr>
      <t>]</t>
    </r>
  </si>
  <si>
    <t>Table 2.4</t>
  </si>
  <si>
    <t>Table 2.6</t>
  </si>
  <si>
    <t>Table 2.5</t>
  </si>
  <si>
    <r>
      <t>L</t>
    </r>
    <r>
      <rPr>
        <vertAlign val="subscript"/>
        <sz val="10"/>
        <rFont val="Cambria"/>
        <family val="1"/>
        <scheme val="major"/>
      </rPr>
      <t>fire</t>
    </r>
    <r>
      <rPr>
        <sz val="10"/>
        <rFont val="Cambria"/>
        <family val="1"/>
        <scheme val="major"/>
      </rPr>
      <t>-CH</t>
    </r>
    <r>
      <rPr>
        <vertAlign val="subscript"/>
        <sz val="10"/>
        <rFont val="Cambria"/>
        <family val="1"/>
        <scheme val="major"/>
      </rPr>
      <t>4</t>
    </r>
    <r>
      <rPr>
        <sz val="10"/>
        <rFont val="Cambria"/>
        <family val="1"/>
        <scheme val="major"/>
      </rPr>
      <t xml:space="preserve"> =</t>
    </r>
  </si>
  <si>
    <r>
      <t>L</t>
    </r>
    <r>
      <rPr>
        <vertAlign val="subscript"/>
        <sz val="10"/>
        <rFont val="Cambria"/>
        <family val="1"/>
        <scheme val="major"/>
      </rPr>
      <t>fire</t>
    </r>
    <r>
      <rPr>
        <sz val="10"/>
        <rFont val="Cambria"/>
        <family val="1"/>
        <scheme val="major"/>
      </rPr>
      <t>-CO =</t>
    </r>
  </si>
  <si>
    <r>
      <t>L</t>
    </r>
    <r>
      <rPr>
        <vertAlign val="subscript"/>
        <sz val="10"/>
        <rFont val="Cambria"/>
        <family val="1"/>
        <scheme val="major"/>
      </rPr>
      <t>fire</t>
    </r>
    <r>
      <rPr>
        <sz val="10"/>
        <rFont val="Cambria"/>
        <family val="1"/>
        <scheme val="major"/>
      </rPr>
      <t>-N</t>
    </r>
    <r>
      <rPr>
        <vertAlign val="subscript"/>
        <sz val="10"/>
        <rFont val="Cambria"/>
        <family val="1"/>
        <scheme val="major"/>
      </rPr>
      <t>2</t>
    </r>
    <r>
      <rPr>
        <sz val="10"/>
        <rFont val="Cambria"/>
        <family val="1"/>
        <scheme val="major"/>
      </rPr>
      <t>O =</t>
    </r>
  </si>
  <si>
    <r>
      <t>L</t>
    </r>
    <r>
      <rPr>
        <vertAlign val="subscript"/>
        <sz val="10"/>
        <rFont val="Cambria"/>
        <family val="1"/>
        <scheme val="major"/>
      </rPr>
      <t>fire</t>
    </r>
    <r>
      <rPr>
        <sz val="10"/>
        <rFont val="Cambria"/>
        <family val="1"/>
        <scheme val="major"/>
      </rPr>
      <t>-NO</t>
    </r>
    <r>
      <rPr>
        <vertAlign val="subscript"/>
        <sz val="10"/>
        <rFont val="Cambria"/>
        <family val="1"/>
        <scheme val="major"/>
      </rPr>
      <t>x</t>
    </r>
    <r>
      <rPr>
        <sz val="10"/>
        <rFont val="Cambria"/>
        <family val="1"/>
        <scheme val="major"/>
      </rPr>
      <t xml:space="preserve"> =</t>
    </r>
  </si>
  <si>
    <r>
      <t>A *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xml:space="preserve"> * G</t>
    </r>
    <r>
      <rPr>
        <vertAlign val="subscript"/>
        <sz val="10"/>
        <rFont val="Cambria"/>
        <family val="1"/>
        <scheme val="major"/>
      </rPr>
      <t>ef</t>
    </r>
    <r>
      <rPr>
        <sz val="10"/>
        <rFont val="Cambria"/>
        <family val="1"/>
        <scheme val="major"/>
      </rPr>
      <t xml:space="preserve"> * 10</t>
    </r>
    <r>
      <rPr>
        <vertAlign val="superscript"/>
        <sz val="10"/>
        <rFont val="Cambria"/>
        <family val="1"/>
        <scheme val="major"/>
      </rPr>
      <t>-3</t>
    </r>
  </si>
  <si>
    <r>
      <t>M</t>
    </r>
    <r>
      <rPr>
        <b/>
        <vertAlign val="subscript"/>
        <sz val="10"/>
        <rFont val="Cambria"/>
        <family val="1"/>
        <scheme val="major"/>
      </rPr>
      <t>B</t>
    </r>
  </si>
  <si>
    <r>
      <t>C</t>
    </r>
    <r>
      <rPr>
        <b/>
        <vertAlign val="subscript"/>
        <sz val="10"/>
        <rFont val="Cambria"/>
        <family val="1"/>
        <scheme val="major"/>
      </rPr>
      <t>f</t>
    </r>
  </si>
  <si>
    <r>
      <t>G</t>
    </r>
    <r>
      <rPr>
        <b/>
        <vertAlign val="subscript"/>
        <sz val="10"/>
        <rFont val="Cambria"/>
        <family val="1"/>
        <scheme val="major"/>
      </rPr>
      <t>ef</t>
    </r>
  </si>
  <si>
    <r>
      <t>L</t>
    </r>
    <r>
      <rPr>
        <b/>
        <vertAlign val="subscript"/>
        <sz val="10"/>
        <rFont val="Cambria"/>
        <family val="1"/>
        <scheme val="major"/>
      </rPr>
      <t>fire</t>
    </r>
    <r>
      <rPr>
        <b/>
        <sz val="10"/>
        <rFont val="Cambria"/>
        <family val="1"/>
        <scheme val="major"/>
      </rPr>
      <t>-CH</t>
    </r>
    <r>
      <rPr>
        <b/>
        <vertAlign val="subscript"/>
        <sz val="10"/>
        <rFont val="Cambria"/>
        <family val="1"/>
        <scheme val="major"/>
      </rPr>
      <t>4</t>
    </r>
  </si>
  <si>
    <r>
      <t>L</t>
    </r>
    <r>
      <rPr>
        <b/>
        <vertAlign val="subscript"/>
        <sz val="10"/>
        <rFont val="Cambria"/>
        <family val="1"/>
        <scheme val="major"/>
      </rPr>
      <t>fire</t>
    </r>
    <r>
      <rPr>
        <b/>
        <sz val="10"/>
        <rFont val="Cambria"/>
        <family val="1"/>
        <scheme val="major"/>
      </rPr>
      <t>-CO</t>
    </r>
  </si>
  <si>
    <r>
      <t>L</t>
    </r>
    <r>
      <rPr>
        <b/>
        <vertAlign val="subscript"/>
        <sz val="10"/>
        <rFont val="Cambria"/>
        <family val="1"/>
        <scheme val="major"/>
      </rPr>
      <t>fire</t>
    </r>
    <r>
      <rPr>
        <b/>
        <sz val="10"/>
        <rFont val="Cambria"/>
        <family val="1"/>
        <scheme val="major"/>
      </rPr>
      <t>-N</t>
    </r>
    <r>
      <rPr>
        <b/>
        <vertAlign val="subscript"/>
        <sz val="10"/>
        <rFont val="Cambria"/>
        <family val="1"/>
        <scheme val="major"/>
      </rPr>
      <t>2</t>
    </r>
    <r>
      <rPr>
        <b/>
        <sz val="10"/>
        <rFont val="Cambria"/>
        <family val="1"/>
        <scheme val="major"/>
      </rPr>
      <t>O</t>
    </r>
  </si>
  <si>
    <r>
      <t>L</t>
    </r>
    <r>
      <rPr>
        <b/>
        <vertAlign val="subscript"/>
        <sz val="10"/>
        <rFont val="Cambria"/>
        <family val="1"/>
        <scheme val="major"/>
      </rPr>
      <t>fire</t>
    </r>
    <r>
      <rPr>
        <b/>
        <sz val="10"/>
        <rFont val="Cambria"/>
        <family val="1"/>
        <scheme val="major"/>
      </rPr>
      <t>-NO</t>
    </r>
    <r>
      <rPr>
        <b/>
        <vertAlign val="subscript"/>
        <sz val="10"/>
        <rFont val="Cambria"/>
        <family val="1"/>
        <scheme val="major"/>
      </rPr>
      <t>x</t>
    </r>
  </si>
  <si>
    <r>
      <t>CH</t>
    </r>
    <r>
      <rPr>
        <vertAlign val="subscript"/>
        <sz val="10"/>
        <rFont val="Cambria"/>
        <family val="1"/>
        <scheme val="major"/>
      </rPr>
      <t>4</t>
    </r>
  </si>
  <si>
    <r>
      <t>N</t>
    </r>
    <r>
      <rPr>
        <vertAlign val="subscript"/>
        <sz val="10"/>
        <rFont val="Cambria"/>
        <family val="1"/>
        <scheme val="major"/>
      </rPr>
      <t>2</t>
    </r>
    <r>
      <rPr>
        <sz val="10"/>
        <rFont val="Cambria"/>
        <family val="1"/>
        <scheme val="major"/>
      </rPr>
      <t>O</t>
    </r>
  </si>
  <si>
    <r>
      <t>NO</t>
    </r>
    <r>
      <rPr>
        <vertAlign val="subscript"/>
        <sz val="10"/>
        <rFont val="Cambria"/>
        <family val="1"/>
        <scheme val="major"/>
      </rPr>
      <t>x</t>
    </r>
  </si>
  <si>
    <r>
      <t>1</t>
    </r>
    <r>
      <rPr>
        <sz val="10"/>
        <rFont val="Cambria"/>
        <family val="1"/>
        <scheme val="major"/>
      </rPr>
      <t xml:space="preserve"> For each subcategory, use separate line for each non-CO</t>
    </r>
    <r>
      <rPr>
        <vertAlign val="subscript"/>
        <sz val="10"/>
        <rFont val="Cambria"/>
        <family val="1"/>
        <scheme val="major"/>
      </rPr>
      <t>2</t>
    </r>
    <r>
      <rPr>
        <sz val="10"/>
        <rFont val="Cambria"/>
        <family val="1"/>
        <scheme val="major"/>
      </rPr>
      <t xml:space="preserve"> greenhouse gas.</t>
    </r>
  </si>
  <si>
    <r>
      <t>2</t>
    </r>
    <r>
      <rPr>
        <sz val="10"/>
        <rFont val="Cambria"/>
        <family val="1"/>
        <scheme val="major"/>
      </rPr>
      <t xml:space="preserve"> Where data for M</t>
    </r>
    <r>
      <rPr>
        <vertAlign val="subscript"/>
        <sz val="10"/>
        <rFont val="Cambria"/>
        <family val="1"/>
        <scheme val="major"/>
      </rPr>
      <t>B</t>
    </r>
    <r>
      <rPr>
        <sz val="10"/>
        <rFont val="Cambria"/>
        <family val="1"/>
        <scheme val="major"/>
      </rPr>
      <t xml:space="preserve"> and C</t>
    </r>
    <r>
      <rPr>
        <vertAlign val="subscript"/>
        <sz val="10"/>
        <rFont val="Cambria"/>
        <family val="1"/>
        <scheme val="major"/>
      </rPr>
      <t>f</t>
    </r>
    <r>
      <rPr>
        <sz val="10"/>
        <rFont val="Cambria"/>
        <family val="1"/>
        <scheme val="major"/>
      </rPr>
      <t xml:space="preserve"> are not available, a default value for the amount of fuel actually burnt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can be used (Table 2.4). In this case, M</t>
    </r>
    <r>
      <rPr>
        <vertAlign val="subscript"/>
        <sz val="10"/>
        <rFont val="Cambria"/>
        <family val="1"/>
        <scheme val="major"/>
      </rPr>
      <t>B</t>
    </r>
    <r>
      <rPr>
        <sz val="10"/>
        <rFont val="Cambria"/>
        <family val="1"/>
        <scheme val="major"/>
      </rPr>
      <t xml:space="preserve"> takes the value taken from the table, whereas C</t>
    </r>
    <r>
      <rPr>
        <vertAlign val="subscript"/>
        <sz val="10"/>
        <rFont val="Cambria"/>
        <family val="1"/>
        <scheme val="major"/>
      </rPr>
      <t>f</t>
    </r>
    <r>
      <rPr>
        <sz val="10"/>
        <rFont val="Cambria"/>
        <family val="1"/>
        <scheme val="major"/>
      </rPr>
      <t xml:space="preserve"> must be 1.</t>
    </r>
  </si>
  <si>
    <t>Biomass Burning in Cropland (Land Converted to Cropland)</t>
  </si>
  <si>
    <t xml:space="preserve">พื้นที่ปลูกอ้อยถูกเผาไหม้ </t>
  </si>
  <si>
    <t xml:space="preserve">พื้นที่ปลูกข้าวถูกเผาไหม้ </t>
  </si>
  <si>
    <r>
      <t>Combustion factor</t>
    </r>
    <r>
      <rPr>
        <vertAlign val="superscript"/>
        <sz val="10"/>
        <rFont val="Cambria"/>
        <family val="1"/>
        <scheme val="major"/>
      </rPr>
      <t>3</t>
    </r>
  </si>
  <si>
    <r>
      <t>(tonnes ha</t>
    </r>
    <r>
      <rPr>
        <vertAlign val="superscript"/>
        <sz val="10"/>
        <rFont val="Cambria"/>
        <family val="1"/>
        <scheme val="major"/>
      </rPr>
      <t>-1</t>
    </r>
    <r>
      <rPr>
        <sz val="10"/>
        <rFont val="Cambria"/>
        <family val="1"/>
        <scheme val="major"/>
      </rPr>
      <t>)</t>
    </r>
  </si>
  <si>
    <t> (Table 2.4)</t>
  </si>
  <si>
    <t>Sugarcane</t>
  </si>
  <si>
    <t xml:space="preserve">Rice residues </t>
  </si>
  <si>
    <t xml:space="preserve">Maize residues </t>
  </si>
  <si>
    <r>
      <t>1</t>
    </r>
    <r>
      <rPr>
        <sz val="10"/>
        <rFont val="Cambria"/>
        <family val="1"/>
        <scheme val="major"/>
      </rPr>
      <t xml:space="preserve"> For each subcategory, use separate lines for each non-CO</t>
    </r>
    <r>
      <rPr>
        <vertAlign val="subscript"/>
        <sz val="10"/>
        <rFont val="Cambria"/>
        <family val="1"/>
        <scheme val="major"/>
      </rPr>
      <t>2</t>
    </r>
    <r>
      <rPr>
        <sz val="10"/>
        <rFont val="Cambria"/>
        <family val="1"/>
        <scheme val="major"/>
      </rPr>
      <t xml:space="preserve"> greenhouse gas.</t>
    </r>
  </si>
  <si>
    <r>
      <t>2</t>
    </r>
    <r>
      <rPr>
        <sz val="10"/>
        <rFont val="Cambria"/>
        <family val="1"/>
        <scheme val="major"/>
      </rPr>
      <t xml:space="preserve"> Where data for M</t>
    </r>
    <r>
      <rPr>
        <vertAlign val="subscript"/>
        <sz val="10"/>
        <rFont val="Cambria"/>
        <family val="1"/>
        <scheme val="major"/>
      </rPr>
      <t>B</t>
    </r>
    <r>
      <rPr>
        <sz val="10"/>
        <rFont val="Cambria"/>
        <family val="1"/>
        <scheme val="major"/>
      </rPr>
      <t xml:space="preserve"> and C</t>
    </r>
    <r>
      <rPr>
        <vertAlign val="subscript"/>
        <sz val="10"/>
        <rFont val="Cambria"/>
        <family val="1"/>
        <scheme val="major"/>
      </rPr>
      <t>f</t>
    </r>
    <r>
      <rPr>
        <sz val="10"/>
        <rFont val="Cambria"/>
        <family val="1"/>
        <scheme val="major"/>
      </rPr>
      <t xml:space="preserve"> are not available, a default value for the amount of fuel actually burnt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can be used (Table2.4). In this case, M</t>
    </r>
    <r>
      <rPr>
        <vertAlign val="subscript"/>
        <sz val="10"/>
        <rFont val="Cambria"/>
        <family val="1"/>
        <scheme val="major"/>
      </rPr>
      <t>B</t>
    </r>
    <r>
      <rPr>
        <sz val="10"/>
        <rFont val="Cambria"/>
        <family val="1"/>
        <scheme val="major"/>
      </rPr>
      <t xml:space="preserve"> takes the value taken from the table, whereas C</t>
    </r>
    <r>
      <rPr>
        <vertAlign val="subscript"/>
        <sz val="10"/>
        <rFont val="Cambria"/>
        <family val="1"/>
        <scheme val="major"/>
      </rPr>
      <t>f</t>
    </r>
    <r>
      <rPr>
        <sz val="10"/>
        <rFont val="Cambria"/>
        <family val="1"/>
        <scheme val="major"/>
      </rPr>
      <t xml:space="preserve"> must be 1.</t>
    </r>
  </si>
  <si>
    <r>
      <t xml:space="preserve">Source: </t>
    </r>
    <r>
      <rPr>
        <sz val="10"/>
        <rFont val="Calibri"/>
        <family val="2"/>
        <scheme val="minor"/>
      </rPr>
      <t>2006 IPCC Guidelines for National Greenhouse Gas Inventories, Volume 2: Energy</t>
    </r>
  </si>
  <si>
    <t>1.1] Chapter 2: Stationary combustion</t>
  </si>
  <si>
    <t>Table 2.2 Default emission factors for stationary combustion in energy industries (kg of greenhouse gas per TJ on a Net Calorific Basis), Page 2.16</t>
  </si>
  <si>
    <r>
      <t>CO</t>
    </r>
    <r>
      <rPr>
        <b/>
        <vertAlign val="subscript"/>
        <sz val="10"/>
        <color theme="0"/>
        <rFont val="Calibri"/>
        <family val="2"/>
        <scheme val="minor"/>
      </rPr>
      <t>2</t>
    </r>
  </si>
  <si>
    <r>
      <t>CH</t>
    </r>
    <r>
      <rPr>
        <b/>
        <vertAlign val="subscript"/>
        <sz val="10"/>
        <color theme="0"/>
        <rFont val="Calibri"/>
        <family val="2"/>
        <scheme val="minor"/>
      </rPr>
      <t>4</t>
    </r>
  </si>
  <si>
    <r>
      <t>N</t>
    </r>
    <r>
      <rPr>
        <b/>
        <vertAlign val="subscript"/>
        <sz val="10"/>
        <color theme="0"/>
        <rFont val="Calibri"/>
        <family val="2"/>
        <scheme val="minor"/>
      </rPr>
      <t>2</t>
    </r>
    <r>
      <rPr>
        <b/>
        <sz val="10"/>
        <color theme="0"/>
        <rFont val="Calibri"/>
        <family val="2"/>
        <scheme val="minor"/>
      </rPr>
      <t>O</t>
    </r>
  </si>
  <si>
    <t>TABLE 4.2.4 TIER 1 EMISSION FACTORS FOR FUGITIVE EMISSIONS (INCLUDING VENTING AND FLARING) FROM OIL AND GAS OPERATIONS IN DEVELOPED COUNTRIESa,b</t>
  </si>
  <si>
    <t>Subcategory</t>
  </si>
  <si>
    <t>Emission source</t>
  </si>
  <si>
    <t>IPCC Code</t>
  </si>
  <si>
    <r>
      <t>CH</t>
    </r>
    <r>
      <rPr>
        <vertAlign val="subscript"/>
        <sz val="10"/>
        <color theme="1"/>
        <rFont val="Tahoma"/>
        <family val="2"/>
      </rPr>
      <t>4</t>
    </r>
  </si>
  <si>
    <r>
      <t>CO</t>
    </r>
    <r>
      <rPr>
        <vertAlign val="subscript"/>
        <sz val="10"/>
        <color theme="1"/>
        <rFont val="Tahoma"/>
        <family val="2"/>
      </rPr>
      <t>2</t>
    </r>
  </si>
  <si>
    <r>
      <t>N</t>
    </r>
    <r>
      <rPr>
        <vertAlign val="subscript"/>
        <sz val="10"/>
        <color theme="1"/>
        <rFont val="Tahoma"/>
        <family val="2"/>
      </rPr>
      <t>2</t>
    </r>
    <r>
      <rPr>
        <sz val="10"/>
        <color theme="1"/>
        <rFont val="Tahoma"/>
        <family val="2"/>
      </rPr>
      <t>O</t>
    </r>
  </si>
  <si>
    <t>Units of
measure</t>
  </si>
  <si>
    <t>Uncertainty (% of value)</t>
  </si>
  <si>
    <t>Orimulsion</t>
  </si>
  <si>
    <t>Oil Production</t>
  </si>
  <si>
    <t>Conventional
Oil</t>
  </si>
  <si>
    <t>Fugitives (Onshore)</t>
  </si>
  <si>
    <t>1.B.2.a.iii.2</t>
  </si>
  <si>
    <t>1.5E-06 to 3.6E-03</t>
  </si>
  <si>
    <t>±100%</t>
  </si>
  <si>
    <t>1.1E-07 to 2.6E-04</t>
  </si>
  <si>
    <t>1.8E-06 to 4.5E-03</t>
  </si>
  <si>
    <t>NA</t>
  </si>
  <si>
    <r>
      <t>Gg per 10</t>
    </r>
    <r>
      <rPr>
        <vertAlign val="superscript"/>
        <sz val="10"/>
        <color theme="1"/>
        <rFont val="Tahoma"/>
        <family val="2"/>
      </rPr>
      <t>3</t>
    </r>
    <r>
      <rPr>
        <sz val="10"/>
        <color theme="1"/>
        <rFont val="Tahoma"/>
        <family val="2"/>
      </rPr>
      <t xml:space="preserve"> m</t>
    </r>
    <r>
      <rPr>
        <vertAlign val="superscript"/>
        <sz val="10"/>
        <color theme="1"/>
        <rFont val="Tahoma"/>
        <family val="2"/>
      </rPr>
      <t xml:space="preserve">3 </t>
    </r>
    <r>
      <rPr>
        <sz val="10"/>
        <color theme="1"/>
        <rFont val="Tahoma"/>
        <family val="2"/>
      </rPr>
      <t>conventional oil production</t>
    </r>
  </si>
  <si>
    <t>Natural Gas Liquids</t>
  </si>
  <si>
    <t>Fugitives (Offshore)</t>
  </si>
  <si>
    <t>Motor Gasoline</t>
  </si>
  <si>
    <t>Venting</t>
  </si>
  <si>
    <t>1.B.2.a.i</t>
  </si>
  <si>
    <t>±50%</t>
  </si>
  <si>
    <t>Aviation Gasoline</t>
  </si>
  <si>
    <t>Flaring</t>
  </si>
  <si>
    <t>1.B.2.a.ii</t>
  </si>
  <si>
    <t>-10 to +1,000%</t>
  </si>
  <si>
    <t>Jet Gasoline</t>
  </si>
  <si>
    <t>Jet Kerosene</t>
  </si>
  <si>
    <t>Shale Oil</t>
  </si>
  <si>
    <t>Ethane</t>
  </si>
  <si>
    <t>Naphtha</t>
  </si>
  <si>
    <t>Bitumen</t>
  </si>
  <si>
    <t>Lubricants</t>
  </si>
  <si>
    <t>Petroleum Coke</t>
  </si>
  <si>
    <t>Refinery Feedstocks</t>
  </si>
  <si>
    <t>White Spirit and SBP</t>
  </si>
  <si>
    <t>Other Petroleum Products</t>
  </si>
  <si>
    <t>Anthracite</t>
  </si>
  <si>
    <t>Coking Coal</t>
  </si>
  <si>
    <t>Other Bituminous Coal</t>
  </si>
  <si>
    <t>Sub-Bituminous Coal</t>
  </si>
  <si>
    <t>Lignite</t>
  </si>
  <si>
    <t>Oil Shale and Tar Sands</t>
  </si>
  <si>
    <t>Brown Coal Briquettes</t>
  </si>
  <si>
    <t>Patent Fuel</t>
  </si>
  <si>
    <t>Coke Oven Coke and Lignite Coke</t>
  </si>
  <si>
    <t>Gas Coke</t>
  </si>
  <si>
    <t>Coal Tar</t>
  </si>
  <si>
    <t>Drive gases</t>
  </si>
  <si>
    <t>Gas Works Gas</t>
  </si>
  <si>
    <t>Coke Oven Gas</t>
  </si>
  <si>
    <t>Blast Furnace Gas</t>
  </si>
  <si>
    <t>Oxygen Steel Furnace Gas</t>
  </si>
  <si>
    <t>Municipal Wastes (non-biomass fraction)</t>
  </si>
  <si>
    <t>30</t>
  </si>
  <si>
    <t>10</t>
  </si>
  <si>
    <t>100</t>
  </si>
  <si>
    <t>4</t>
  </si>
  <si>
    <t>1.5</t>
  </si>
  <si>
    <t>15</t>
  </si>
  <si>
    <t>Industrial Wastes</t>
  </si>
  <si>
    <t>Waste Oils</t>
  </si>
  <si>
    <t>Peat</t>
  </si>
  <si>
    <t>Solid Biofuels</t>
  </si>
  <si>
    <t>Wood / Wood Waste</t>
  </si>
  <si>
    <t>Sulphite lyes (Black Liquor)</t>
  </si>
  <si>
    <t>1</t>
  </si>
  <si>
    <t>18</t>
  </si>
  <si>
    <t>21</t>
  </si>
  <si>
    <t>Other Primary Solid Biomass</t>
  </si>
  <si>
    <t>Liquid Biofuels</t>
  </si>
  <si>
    <t>Biogasoline</t>
  </si>
  <si>
    <t>Biodiesels</t>
  </si>
  <si>
    <t>Other Liquid Biofuels</t>
  </si>
  <si>
    <t>Gas Biomass</t>
  </si>
  <si>
    <t>Landfill Gas</t>
  </si>
  <si>
    <t>Sludge Gas</t>
  </si>
  <si>
    <t>Other Biogas</t>
  </si>
  <si>
    <t>Other non- fossil fuels</t>
  </si>
  <si>
    <t>Municipal Wastes (biomass fraction)</t>
  </si>
  <si>
    <r>
      <t xml:space="preserve">(a) Includes the biomass-derived CO2 emitted from the black liquor combustion unit and the biomass-derived CO2 emitted from the kraft mill lime kiln.
</t>
    </r>
    <r>
      <rPr>
        <b/>
        <sz val="10"/>
        <color rgb="FF000000"/>
        <rFont val="Calibri"/>
        <family val="2"/>
        <scheme val="minor"/>
      </rPr>
      <t xml:space="preserve">n      </t>
    </r>
    <r>
      <rPr>
        <sz val="10"/>
        <color rgb="FF000000"/>
        <rFont val="Calibri"/>
        <family val="2"/>
        <scheme val="minor"/>
      </rPr>
      <t xml:space="preserve">indicates a new emission factor which was not present in the 1996 Guidelines
</t>
    </r>
    <r>
      <rPr>
        <b/>
        <sz val="10"/>
        <color rgb="FF000000"/>
        <rFont val="Calibri"/>
        <family val="2"/>
        <scheme val="minor"/>
      </rPr>
      <t xml:space="preserve">r       </t>
    </r>
    <r>
      <rPr>
        <sz val="10"/>
        <color rgb="FF000000"/>
        <rFont val="Calibri"/>
        <family val="2"/>
        <scheme val="minor"/>
      </rPr>
      <t>indicates an emission factor that has been revised since the 1996 Guidelines</t>
    </r>
  </si>
  <si>
    <t>Table 2.3 Default Emission Factor for Stationary Combustion in Manufacturing Industries and Construction (kg of greenhouse gas per TJ on a Net Calorific Basis), Page 2.18</t>
  </si>
  <si>
    <t>71 100</t>
  </si>
  <si>
    <t>75 500</t>
  </si>
  <si>
    <t>69 300</t>
  </si>
  <si>
    <t>85 400</t>
  </si>
  <si>
    <t>58 300</t>
  </si>
  <si>
    <t>70 400</t>
  </si>
  <si>
    <t>67 500</t>
  </si>
  <si>
    <t>73 000</t>
  </si>
  <si>
    <t>69 700</t>
  </si>
  <si>
    <t>74 400</t>
  </si>
  <si>
    <t>70 800</t>
  </si>
  <si>
    <t>73 700</t>
  </si>
  <si>
    <t>67 800</t>
  </si>
  <si>
    <t>79 200</t>
  </si>
  <si>
    <t>72 600</t>
  </si>
  <si>
    <t>74 800</t>
  </si>
  <si>
    <t>78 800</t>
  </si>
  <si>
    <t>61 600</t>
  </si>
  <si>
    <t>65 600</t>
  </si>
  <si>
    <t>56 500</t>
  </si>
  <si>
    <t>68 600</t>
  </si>
  <si>
    <t>76 300</t>
  </si>
  <si>
    <t>89 900</t>
  </si>
  <si>
    <t>71 900</t>
  </si>
  <si>
    <t>75 200</t>
  </si>
  <si>
    <t>82 900</t>
  </si>
  <si>
    <t>115 000</t>
  </si>
  <si>
    <t>68 900</t>
  </si>
  <si>
    <t>76 600</t>
  </si>
  <si>
    <t>48 200</t>
  </si>
  <si>
    <t>69 000</t>
  </si>
  <si>
    <t>72 200</t>
  </si>
  <si>
    <t>94 600</t>
  </si>
  <si>
    <t>101 000</t>
  </si>
  <si>
    <t>87 300</t>
  </si>
  <si>
    <t>89 500</t>
  </si>
  <si>
    <t>99 700</t>
  </si>
  <si>
    <t>92 800</t>
  </si>
  <si>
    <t>100 000</t>
  </si>
  <si>
    <t>90 900</t>
  </si>
  <si>
    <t>90 200</t>
  </si>
  <si>
    <t>125 000</t>
  </si>
  <si>
    <t>1. 5</t>
  </si>
  <si>
    <t>109 000</t>
  </si>
  <si>
    <t>95 700</t>
  </si>
  <si>
    <t>119 000</t>
  </si>
  <si>
    <t>68 200</t>
  </si>
  <si>
    <t>95 300</t>
  </si>
  <si>
    <t>37 300</t>
  </si>
  <si>
    <t>54 100</t>
  </si>
  <si>
    <t>219 000</t>
  </si>
  <si>
    <t>308 000</t>
  </si>
  <si>
    <t>145 000</t>
  </si>
  <si>
    <t>202 000</t>
  </si>
  <si>
    <t>54 300</t>
  </si>
  <si>
    <t>73 300</t>
  </si>
  <si>
    <t>121 000</t>
  </si>
  <si>
    <t>110 000</t>
  </si>
  <si>
    <t>183 000</t>
  </si>
  <si>
    <t>108 000</t>
  </si>
  <si>
    <t>95 000</t>
  </si>
  <si>
    <t>132 000</t>
  </si>
  <si>
    <t>80 700</t>
  </si>
  <si>
    <t>84 700</t>
  </si>
  <si>
    <t>117 000</t>
  </si>
  <si>
    <t>59 800</t>
  </si>
  <si>
    <t>84 300</t>
  </si>
  <si>
    <t>67 100</t>
  </si>
  <si>
    <t>46 200</t>
  </si>
  <si>
    <t>66 000</t>
  </si>
  <si>
    <t>Table 2.4 Default Emission Factor for Stationary Combustion in Commercial/Institutional (kg of greenhouse gas per TJ on a Net Calorific Basis), Page 2.20</t>
  </si>
  <si>
    <t>r    77000</t>
  </si>
  <si>
    <t>r    64200</t>
  </si>
  <si>
    <t>r    70000</t>
  </si>
  <si>
    <t>r 97500</t>
  </si>
  <si>
    <t>n   57600</t>
  </si>
  <si>
    <t>r  107000</t>
  </si>
  <si>
    <t>n   80700</t>
  </si>
  <si>
    <t>n   44400</t>
  </si>
  <si>
    <t>n 260000</t>
  </si>
  <si>
    <t>n 182000</t>
  </si>
  <si>
    <t>n   91 700</t>
  </si>
  <si>
    <t>n   73 300</t>
  </si>
  <si>
    <t>106 000</t>
  </si>
  <si>
    <r>
      <t xml:space="preserve">n       </t>
    </r>
    <r>
      <rPr>
        <sz val="10"/>
        <color rgb="FF000000"/>
        <rFont val="Calibri"/>
        <family val="2"/>
        <scheme val="minor"/>
      </rPr>
      <t>1.4</t>
    </r>
  </si>
  <si>
    <t>n   95 300</t>
  </si>
  <si>
    <t>n 112 000</t>
  </si>
  <si>
    <t>n   70 800</t>
  </si>
  <si>
    <t>n   79 600</t>
  </si>
  <si>
    <t>n   54 600</t>
  </si>
  <si>
    <t>n    54 600</t>
  </si>
  <si>
    <t>n 100 000</t>
  </si>
  <si>
    <t>Table 2.5 Default emission factors for stationary combustion in the residential and agriculture/forestry/fishing/fishing farm categories (kg of greenhouse gas per TJ on a Net Calorific Basis), Page 2.22</t>
  </si>
  <si>
    <t>r    70 000</t>
  </si>
  <si>
    <t>71500</t>
  </si>
  <si>
    <t>300</t>
  </si>
  <si>
    <t>r  107 000</t>
  </si>
  <si>
    <t>r 107 000</t>
  </si>
  <si>
    <t>n 300</t>
  </si>
  <si>
    <t>n 182 000</t>
  </si>
  <si>
    <t>ค่าการปล่อยก๊าซเรือนกระจกการนำขยะอินทรีย์ไปหมักเป็นปุ๋ย</t>
  </si>
  <si>
    <t>(DOC) content in % of wet waste</t>
  </si>
  <si>
    <t>CH4 generation rate (k)</t>
  </si>
  <si>
    <t>Type of biological treatment</t>
  </si>
  <si>
    <r>
      <t>CH</t>
    </r>
    <r>
      <rPr>
        <b/>
        <vertAlign val="subscript"/>
        <sz val="10"/>
        <color theme="1"/>
        <rFont val="Cambria"/>
        <family val="1"/>
        <scheme val="major"/>
      </rPr>
      <t>4</t>
    </r>
    <r>
      <rPr>
        <b/>
        <sz val="10"/>
        <color theme="1"/>
        <rFont val="Cambria"/>
        <family val="1"/>
        <scheme val="major"/>
      </rPr>
      <t xml:space="preserve"> Emission Factors (g CH</t>
    </r>
    <r>
      <rPr>
        <b/>
        <vertAlign val="subscript"/>
        <sz val="10"/>
        <color theme="1"/>
        <rFont val="Cambria"/>
        <family val="1"/>
        <scheme val="major"/>
      </rPr>
      <t>4</t>
    </r>
    <r>
      <rPr>
        <b/>
        <sz val="10"/>
        <color theme="1"/>
        <rFont val="Cambria"/>
        <family val="1"/>
        <scheme val="major"/>
      </rPr>
      <t>/kg waste treated)</t>
    </r>
  </si>
  <si>
    <r>
      <t>N</t>
    </r>
    <r>
      <rPr>
        <b/>
        <vertAlign val="subscript"/>
        <sz val="10"/>
        <color theme="1"/>
        <rFont val="Cambria"/>
        <family val="1"/>
        <scheme val="major"/>
      </rPr>
      <t>2</t>
    </r>
    <r>
      <rPr>
        <b/>
        <sz val="10"/>
        <color theme="1"/>
        <rFont val="Cambria"/>
        <family val="1"/>
        <scheme val="major"/>
      </rPr>
      <t>O Emission Factors (g N</t>
    </r>
    <r>
      <rPr>
        <b/>
        <vertAlign val="subscript"/>
        <sz val="10"/>
        <color theme="1"/>
        <rFont val="Cambria"/>
        <family val="1"/>
        <scheme val="major"/>
      </rPr>
      <t>2</t>
    </r>
    <r>
      <rPr>
        <b/>
        <sz val="10"/>
        <color theme="1"/>
        <rFont val="Cambria"/>
        <family val="1"/>
        <scheme val="major"/>
      </rPr>
      <t>O/kg waste treated)</t>
    </r>
  </si>
  <si>
    <t>ประเภทขยะ</t>
  </si>
  <si>
    <t>Waste Type</t>
  </si>
  <si>
    <t>on a dry weight basis</t>
  </si>
  <si>
    <t>on a wet weight basis</t>
  </si>
  <si>
    <t>food waste</t>
  </si>
  <si>
    <t>Composting</t>
  </si>
  <si>
    <t>paper</t>
  </si>
  <si>
    <t>Anaerobic digestion at biogas facilities</t>
  </si>
  <si>
    <t>Assumed negligible</t>
  </si>
  <si>
    <t>plastics</t>
  </si>
  <si>
    <t>glass</t>
  </si>
  <si>
    <t>แหล่งที่มา : IPCC Guideline 2006 Volume 5 Table 4.1</t>
  </si>
  <si>
    <t>metal</t>
  </si>
  <si>
    <t>rubber and leather</t>
  </si>
  <si>
    <t>textiles</t>
  </si>
  <si>
    <t>ผ้าอ้อม</t>
  </si>
  <si>
    <t>nappies</t>
  </si>
  <si>
    <t>Garden and Park waste</t>
  </si>
  <si>
    <t>stone and tile</t>
  </si>
  <si>
    <t>other</t>
  </si>
  <si>
    <t>ขยะติดเชื้อ</t>
  </si>
  <si>
    <t>clinical waste</t>
  </si>
  <si>
    <t>Default Dry Matter Content</t>
  </si>
  <si>
    <t>ค่าแฟกเตอร์การปล่อยก๊าซเรือนกระจกแยกตามประเภทของการบำบัดน้ำเสีย</t>
  </si>
  <si>
    <t>ประเภทของการบำบัดน้ำเสีย</t>
  </si>
  <si>
    <t>Methane ConversionFactor (kg CH4 /kg COD)</t>
  </si>
  <si>
    <t>หมายเหตุ</t>
  </si>
  <si>
    <t xml:space="preserve">กรณีน้ำเสียไม่ได้รับการบำบัด </t>
  </si>
  <si>
    <t xml:space="preserve">การปล่อยน้ำเสียลงสู่ ทะเล แม่น้ำ และบึง โดยตรง </t>
  </si>
  <si>
    <t>ไม่รวมปริมาณก๊าซ เรือนกระจกที่เกิดจาก สารอินทรีย์ภายใน แหล่งน้ำ</t>
  </si>
  <si>
    <t>กรณีน้ำเสียได้รับการบำบัด</t>
  </si>
  <si>
    <t>โรงบำบัดแบบเติมอากาศ</t>
  </si>
  <si>
    <t>ประเภทที่ไม่มีการ ควบคุมดูแล และมีการ ทำงานเกินความจุ</t>
  </si>
  <si>
    <t>ระบบกำจัดสลัดจ์แบบไม่เติมอากาศ</t>
  </si>
  <si>
    <t>ไม่รวมปริมาณก๊าซ เรือนกระจกที่ดักเก็บ ได้จากระบบบำบัด</t>
  </si>
  <si>
    <t>Reactor แบบไม่เติมอากาศ</t>
  </si>
  <si>
    <t>บ่อบำบัดตื้นแบบไม่เติมอากาศ</t>
  </si>
  <si>
    <t>ความลึกไม่เกิน 2 เมตร</t>
  </si>
  <si>
    <t>บ่อบำบัดลึกแบบไม่เติมอากาศ</t>
  </si>
  <si>
    <t>ความลึกมากกว่า 2 เมตร</t>
  </si>
  <si>
    <t>ที่มา: แนวทางการประเมินคาร์บอนฟุตพริ้นท์ขององค์กร</t>
  </si>
  <si>
    <t>Fossil Carbon Fraction of Different MSW Component</t>
  </si>
  <si>
    <t>Total carbon content in % of dry weight</t>
  </si>
  <si>
    <t>แหล่งที่มา : IPCC Guideline 2006 Volume 5 Table 2.3 - 2.5  และ GPC Standard version Table 8.4</t>
  </si>
  <si>
    <t>Emission factor for Livestock</t>
  </si>
  <si>
    <r>
      <rPr>
        <b/>
        <sz val="10"/>
        <color rgb="FFFF0000"/>
        <rFont val="Cambria"/>
        <family val="1"/>
        <scheme val="major"/>
      </rPr>
      <t>CH</t>
    </r>
    <r>
      <rPr>
        <b/>
        <vertAlign val="subscript"/>
        <sz val="10"/>
        <color rgb="FFFF0000"/>
        <rFont val="Cambria"/>
        <family val="1"/>
        <scheme val="major"/>
      </rPr>
      <t>4</t>
    </r>
    <r>
      <rPr>
        <b/>
        <sz val="10"/>
        <color rgb="FFFF0000"/>
        <rFont val="Cambria"/>
        <family val="1"/>
        <scheme val="major"/>
      </rPr>
      <t xml:space="preserve"> Emissions Factor:</t>
    </r>
    <r>
      <rPr>
        <b/>
        <sz val="10"/>
        <color theme="1"/>
        <rFont val="Cambria"/>
        <family val="1"/>
        <scheme val="major"/>
      </rPr>
      <t xml:space="preserve"> จากระบบย่อยอาหารของสัตว์ (Enteric Fermentation) และการจัดการมูลสัตว์ (Manure Management) </t>
    </r>
  </si>
  <si>
    <t>ประเภทปศุสัตว์</t>
  </si>
  <si>
    <r>
      <t>CH</t>
    </r>
    <r>
      <rPr>
        <b/>
        <vertAlign val="subscript"/>
        <sz val="10"/>
        <color theme="0"/>
        <rFont val="Cambria"/>
        <family val="1"/>
        <scheme val="major"/>
      </rPr>
      <t>4</t>
    </r>
    <r>
      <rPr>
        <b/>
        <sz val="10"/>
        <color theme="0"/>
        <rFont val="Cambria"/>
        <family val="1"/>
        <scheme val="major"/>
      </rPr>
      <t xml:space="preserve"> Emissions Factor from Enteric Fermentation</t>
    </r>
  </si>
  <si>
    <r>
      <t>CH</t>
    </r>
    <r>
      <rPr>
        <b/>
        <vertAlign val="subscript"/>
        <sz val="10"/>
        <color theme="0"/>
        <rFont val="Cambria"/>
        <family val="1"/>
        <scheme val="major"/>
      </rPr>
      <t>4</t>
    </r>
    <r>
      <rPr>
        <b/>
        <sz val="10"/>
        <color theme="0"/>
        <rFont val="Cambria"/>
        <family val="1"/>
        <scheme val="major"/>
      </rPr>
      <t xml:space="preserve"> Emissions Factor from Manure Management</t>
    </r>
  </si>
  <si>
    <r>
      <t>Tier 1</t>
    </r>
    <r>
      <rPr>
        <b/>
        <vertAlign val="superscript"/>
        <sz val="10"/>
        <color theme="1"/>
        <rFont val="Cambria"/>
        <family val="1"/>
        <scheme val="major"/>
      </rPr>
      <t>a</t>
    </r>
  </si>
  <si>
    <r>
      <t>Tier 2</t>
    </r>
    <r>
      <rPr>
        <b/>
        <vertAlign val="superscript"/>
        <sz val="10"/>
        <color theme="9" tint="-0.249977111117893"/>
        <rFont val="Cambria"/>
        <family val="1"/>
        <scheme val="major"/>
      </rPr>
      <t>b</t>
    </r>
  </si>
  <si>
    <t>โคนม</t>
  </si>
  <si>
    <t>โคอื่นๆ</t>
  </si>
  <si>
    <t>กระบือ</t>
  </si>
  <si>
    <t>แกะ</t>
  </si>
  <si>
    <t>n/a</t>
  </si>
  <si>
    <t>แพะ</t>
  </si>
  <si>
    <t>อูฐ</t>
  </si>
  <si>
    <t>ม้า</t>
  </si>
  <si>
    <t>ล่อ ลา</t>
  </si>
  <si>
    <t>สุกร</t>
  </si>
  <si>
    <t>กวาง</t>
  </si>
  <si>
    <t>ช้าง</t>
  </si>
  <si>
    <t>ไก่</t>
  </si>
  <si>
    <t>เป็ด</t>
  </si>
  <si>
    <t>ห่าน</t>
  </si>
  <si>
    <t>นกกระทา</t>
  </si>
  <si>
    <t>นกอีมู</t>
  </si>
  <si>
    <t>นกกระจอกเทศ</t>
  </si>
  <si>
    <t>หน่วย : กิโลกรัม ต่อประชากร ต่อปี (kg/head/year)</t>
  </si>
  <si>
    <r>
      <t xml:space="preserve">แหล่งที่มา : </t>
    </r>
    <r>
      <rPr>
        <vertAlign val="superscript"/>
        <sz val="10"/>
        <color theme="1"/>
        <rFont val="Cambria"/>
        <family val="1"/>
        <scheme val="major"/>
      </rPr>
      <t>a</t>
    </r>
    <r>
      <rPr>
        <sz val="10"/>
        <color theme="1"/>
        <rFont val="Cambria"/>
        <family val="1"/>
        <scheme val="major"/>
      </rPr>
      <t xml:space="preserve"> IPCC Guideline 2006 Volume 4 Table 10.10,10.11</t>
    </r>
  </si>
  <si>
    <r>
      <rPr>
        <vertAlign val="superscript"/>
        <sz val="10"/>
        <color theme="1"/>
        <rFont val="Cambria"/>
        <family val="1"/>
        <scheme val="major"/>
      </rPr>
      <t xml:space="preserve">                      b</t>
    </r>
    <r>
      <rPr>
        <sz val="10"/>
        <color theme="1"/>
        <rFont val="Cambria"/>
        <family val="1"/>
        <scheme val="major"/>
      </rPr>
      <t xml:space="preserve"> Thailand TNC and BUR Report</t>
    </r>
  </si>
  <si>
    <r>
      <rPr>
        <b/>
        <sz val="10"/>
        <color rgb="FFFF0000"/>
        <rFont val="Cambria"/>
        <family val="1"/>
        <scheme val="major"/>
      </rPr>
      <t>N</t>
    </r>
    <r>
      <rPr>
        <b/>
        <vertAlign val="subscript"/>
        <sz val="10"/>
        <color rgb="FFFF0000"/>
        <rFont val="Cambria"/>
        <family val="1"/>
        <scheme val="major"/>
      </rPr>
      <t>2</t>
    </r>
    <r>
      <rPr>
        <b/>
        <sz val="10"/>
        <color rgb="FFFF0000"/>
        <rFont val="Cambria"/>
        <family val="1"/>
        <scheme val="major"/>
      </rPr>
      <t>O emissions factor:</t>
    </r>
    <r>
      <rPr>
        <sz val="10"/>
        <color theme="1"/>
        <rFont val="Cambria"/>
        <family val="1"/>
        <scheme val="major"/>
      </rPr>
      <t xml:space="preserve"> Manure management system</t>
    </r>
  </si>
  <si>
    <t>อัตราการเกิดไนโตรเจนจากมูลสัตว์</t>
  </si>
  <si>
    <t>น้ำหนักสัตว์</t>
  </si>
  <si>
    <t>ค่าเฉลี่ยไนโตรเจนในมูลสัตว์</t>
  </si>
  <si>
    <t xml:space="preserve">Fraction of total annual N excretion for each livestock species/category T that is managed in manure management system S in the country </t>
  </si>
  <si>
    <r>
      <t>Emissions factor for direct N</t>
    </r>
    <r>
      <rPr>
        <b/>
        <vertAlign val="subscript"/>
        <sz val="10"/>
        <color rgb="FFFFFFFF"/>
        <rFont val="Cambria"/>
        <family val="1"/>
        <scheme val="major"/>
      </rPr>
      <t>2</t>
    </r>
    <r>
      <rPr>
        <b/>
        <sz val="10"/>
        <color rgb="FFFFFFFF"/>
        <rFont val="Cambria"/>
        <family val="1"/>
        <scheme val="major"/>
      </rPr>
      <t>O emissions from manure management system S in the country (kg N</t>
    </r>
    <r>
      <rPr>
        <b/>
        <vertAlign val="subscript"/>
        <sz val="10"/>
        <color rgb="FFFFFFFF"/>
        <rFont val="Cambria"/>
        <family val="1"/>
        <scheme val="major"/>
      </rPr>
      <t>2</t>
    </r>
    <r>
      <rPr>
        <b/>
        <sz val="10"/>
        <color rgb="FFFFFFFF"/>
        <rFont val="Cambria"/>
        <family val="1"/>
        <scheme val="major"/>
      </rPr>
      <t>O-N (kg N in MMS)</t>
    </r>
    <r>
      <rPr>
        <b/>
        <vertAlign val="superscript"/>
        <sz val="10"/>
        <color rgb="FFFFFFFF"/>
        <rFont val="Cambria"/>
        <family val="1"/>
        <scheme val="major"/>
      </rPr>
      <t>-1</t>
    </r>
    <r>
      <rPr>
        <b/>
        <sz val="10"/>
        <color rgb="FFFFFFFF"/>
        <rFont val="Cambria"/>
        <family val="1"/>
        <scheme val="major"/>
      </rPr>
      <t>)</t>
    </r>
  </si>
  <si>
    <r>
      <t>Conversion of N</t>
    </r>
    <r>
      <rPr>
        <b/>
        <vertAlign val="subscript"/>
        <sz val="10"/>
        <color theme="0"/>
        <rFont val="Cambria"/>
        <family val="1"/>
        <scheme val="major"/>
      </rPr>
      <t>2</t>
    </r>
    <r>
      <rPr>
        <b/>
        <sz val="10"/>
        <color theme="0"/>
        <rFont val="Cambria"/>
        <family val="1"/>
        <scheme val="major"/>
      </rPr>
      <t>O-N</t>
    </r>
    <r>
      <rPr>
        <b/>
        <vertAlign val="subscript"/>
        <sz val="10"/>
        <color theme="0"/>
        <rFont val="Cambria"/>
        <family val="1"/>
        <scheme val="major"/>
      </rPr>
      <t xml:space="preserve">(mm) </t>
    </r>
    <r>
      <rPr>
        <b/>
        <sz val="10"/>
        <color theme="0"/>
        <rFont val="Cambria"/>
        <family val="1"/>
        <scheme val="major"/>
      </rPr>
      <t>emissions to N</t>
    </r>
    <r>
      <rPr>
        <b/>
        <vertAlign val="subscript"/>
        <sz val="10"/>
        <color theme="0"/>
        <rFont val="Cambria"/>
        <family val="1"/>
        <scheme val="major"/>
      </rPr>
      <t>2</t>
    </r>
    <r>
      <rPr>
        <b/>
        <sz val="10"/>
        <color theme="0"/>
        <rFont val="Cambria"/>
        <family val="1"/>
        <scheme val="major"/>
      </rPr>
      <t>O</t>
    </r>
    <r>
      <rPr>
        <b/>
        <vertAlign val="subscript"/>
        <sz val="10"/>
        <color theme="0"/>
        <rFont val="Cambria"/>
        <family val="1"/>
        <scheme val="major"/>
      </rPr>
      <t xml:space="preserve">(mm) </t>
    </r>
    <r>
      <rPr>
        <b/>
        <sz val="10"/>
        <color theme="0"/>
        <rFont val="Cambria"/>
        <family val="1"/>
        <scheme val="major"/>
      </rPr>
      <t>emissions</t>
    </r>
    <r>
      <rPr>
        <b/>
        <vertAlign val="superscript"/>
        <sz val="10"/>
        <color theme="0"/>
        <rFont val="Cambria"/>
        <family val="1"/>
        <scheme val="major"/>
      </rPr>
      <t>a</t>
    </r>
  </si>
  <si>
    <r>
      <t>Direct N</t>
    </r>
    <r>
      <rPr>
        <b/>
        <vertAlign val="subscript"/>
        <sz val="10"/>
        <color rgb="FFFFFFFF"/>
        <rFont val="Cambria"/>
        <family val="1"/>
        <scheme val="major"/>
      </rPr>
      <t>2</t>
    </r>
    <r>
      <rPr>
        <b/>
        <sz val="10"/>
        <color rgb="FFFFFFFF"/>
        <rFont val="Cambria"/>
        <family val="1"/>
        <scheme val="major"/>
      </rPr>
      <t>O emissions factors for manure management system (kg N</t>
    </r>
    <r>
      <rPr>
        <b/>
        <vertAlign val="subscript"/>
        <sz val="10"/>
        <color rgb="FFFFFFFF"/>
        <rFont val="Cambria"/>
        <family val="1"/>
        <scheme val="major"/>
      </rPr>
      <t>2</t>
    </r>
    <r>
      <rPr>
        <b/>
        <sz val="10"/>
        <color rgb="FFFFFFFF"/>
        <rFont val="Cambria"/>
        <family val="1"/>
        <scheme val="major"/>
      </rPr>
      <t>O kg animal</t>
    </r>
    <r>
      <rPr>
        <b/>
        <vertAlign val="superscript"/>
        <sz val="10"/>
        <color rgb="FFFFFFFF"/>
        <rFont val="Cambria"/>
        <family val="1"/>
        <scheme val="major"/>
      </rPr>
      <t xml:space="preserve">-1 </t>
    </r>
    <r>
      <rPr>
        <b/>
        <sz val="10"/>
        <color rgb="FFFFFFFF"/>
        <rFont val="Cambria"/>
        <family val="1"/>
        <scheme val="major"/>
      </rPr>
      <t>year</t>
    </r>
    <r>
      <rPr>
        <b/>
        <vertAlign val="superscript"/>
        <sz val="10"/>
        <color rgb="FFFFFFFF"/>
        <rFont val="Cambria"/>
        <family val="1"/>
        <scheme val="major"/>
      </rPr>
      <t>-1</t>
    </r>
    <r>
      <rPr>
        <b/>
        <sz val="10"/>
        <color rgb="FFFFFFFF"/>
        <rFont val="Cambria"/>
        <family val="1"/>
        <scheme val="major"/>
      </rPr>
      <t>)</t>
    </r>
  </si>
  <si>
    <r>
      <t>[kg N (1000 kg animal)</t>
    </r>
    <r>
      <rPr>
        <b/>
        <vertAlign val="superscript"/>
        <sz val="10"/>
        <color theme="0"/>
        <rFont val="Cambria"/>
        <family val="1"/>
        <scheme val="major"/>
      </rPr>
      <t>-1</t>
    </r>
    <r>
      <rPr>
        <b/>
        <sz val="10"/>
        <color theme="0"/>
        <rFont val="Cambria"/>
        <family val="1"/>
        <scheme val="major"/>
      </rPr>
      <t xml:space="preserve"> day</t>
    </r>
    <r>
      <rPr>
        <b/>
        <vertAlign val="superscript"/>
        <sz val="10"/>
        <color theme="0"/>
        <rFont val="Cambria"/>
        <family val="1"/>
        <scheme val="major"/>
      </rPr>
      <t>-1</t>
    </r>
    <r>
      <rPr>
        <b/>
        <sz val="10"/>
        <color theme="0"/>
        <rFont val="Cambria"/>
        <family val="1"/>
        <scheme val="major"/>
      </rPr>
      <t>]</t>
    </r>
  </si>
  <si>
    <r>
      <t>(kg N animal</t>
    </r>
    <r>
      <rPr>
        <b/>
        <vertAlign val="superscript"/>
        <sz val="10"/>
        <color theme="0"/>
        <rFont val="Cambria"/>
        <family val="1"/>
        <scheme val="major"/>
      </rPr>
      <t>-1</t>
    </r>
    <r>
      <rPr>
        <b/>
        <sz val="10"/>
        <color theme="0"/>
        <rFont val="Cambria"/>
        <family val="1"/>
        <scheme val="major"/>
      </rPr>
      <t xml:space="preserve"> year</t>
    </r>
    <r>
      <rPr>
        <b/>
        <vertAlign val="superscript"/>
        <sz val="10"/>
        <color theme="0"/>
        <rFont val="Cambria"/>
        <family val="1"/>
        <scheme val="major"/>
      </rPr>
      <t>-1</t>
    </r>
    <r>
      <rPr>
        <b/>
        <sz val="10"/>
        <color theme="0"/>
        <rFont val="Cambria"/>
        <family val="1"/>
        <scheme val="major"/>
      </rPr>
      <t>)</t>
    </r>
  </si>
  <si>
    <t>Lagoon</t>
  </si>
  <si>
    <t>Liquid/Slurry</t>
  </si>
  <si>
    <t>Solid Storage</t>
  </si>
  <si>
    <t>Dry Lot</t>
  </si>
  <si>
    <t>Pasture/Range/Paddock</t>
  </si>
  <si>
    <t>Daily Spread</t>
  </si>
  <si>
    <t>Anaerobic digester</t>
  </si>
  <si>
    <t>Poultry Manure with Litter</t>
  </si>
  <si>
    <t>Poultry Manure without Litter</t>
  </si>
  <si>
    <t>Manure Used as Feed</t>
  </si>
  <si>
    <t>Others</t>
  </si>
  <si>
    <t>Liquid/Slurry with natural crust cover</t>
  </si>
  <si>
    <t>Liquid/Slurry without natural crust cover</t>
  </si>
  <si>
    <r>
      <t>N</t>
    </r>
    <r>
      <rPr>
        <b/>
        <vertAlign val="subscript"/>
        <sz val="10"/>
        <color rgb="FF002060"/>
        <rFont val="Cambria"/>
        <family val="1"/>
        <scheme val="major"/>
      </rPr>
      <t>rate(T)</t>
    </r>
  </si>
  <si>
    <t>TAM</t>
  </si>
  <si>
    <r>
      <t>Nex</t>
    </r>
    <r>
      <rPr>
        <b/>
        <vertAlign val="subscript"/>
        <sz val="10"/>
        <color rgb="FF002060"/>
        <rFont val="Cambria"/>
        <family val="1"/>
        <scheme val="major"/>
      </rPr>
      <t>(T)</t>
    </r>
    <r>
      <rPr>
        <b/>
        <vertAlign val="superscript"/>
        <sz val="10"/>
        <color rgb="FF002060"/>
        <rFont val="Cambria"/>
        <family val="1"/>
        <scheme val="major"/>
      </rPr>
      <t>a</t>
    </r>
  </si>
  <si>
    <r>
      <t>Nex</t>
    </r>
    <r>
      <rPr>
        <b/>
        <vertAlign val="subscript"/>
        <sz val="10"/>
        <color theme="9" tint="-0.249977111117893"/>
        <rFont val="Cambria"/>
        <family val="1"/>
        <scheme val="major"/>
      </rPr>
      <t>(T)</t>
    </r>
    <r>
      <rPr>
        <b/>
        <vertAlign val="superscript"/>
        <sz val="10"/>
        <color theme="9" tint="-0.249977111117893"/>
        <rFont val="Cambria"/>
        <family val="1"/>
        <scheme val="major"/>
      </rPr>
      <t>b</t>
    </r>
  </si>
  <si>
    <r>
      <t>MS</t>
    </r>
    <r>
      <rPr>
        <b/>
        <vertAlign val="subscript"/>
        <sz val="10"/>
        <color theme="9" tint="-0.249977111117893"/>
        <rFont val="Cambria"/>
        <family val="1"/>
        <scheme val="major"/>
      </rPr>
      <t>(T,S)</t>
    </r>
    <r>
      <rPr>
        <b/>
        <vertAlign val="superscript"/>
        <sz val="10"/>
        <color theme="9" tint="-0.249977111117893"/>
        <rFont val="Cambria"/>
        <family val="1"/>
        <scheme val="major"/>
      </rPr>
      <t>b</t>
    </r>
  </si>
  <si>
    <r>
      <t>EF</t>
    </r>
    <r>
      <rPr>
        <b/>
        <vertAlign val="subscript"/>
        <sz val="10"/>
        <color rgb="FF002060"/>
        <rFont val="Cambria"/>
        <family val="1"/>
        <scheme val="major"/>
      </rPr>
      <t>3(S)</t>
    </r>
  </si>
  <si>
    <r>
      <t>Direct N</t>
    </r>
    <r>
      <rPr>
        <b/>
        <vertAlign val="subscript"/>
        <sz val="10"/>
        <color rgb="FF002060"/>
        <rFont val="Cambria"/>
        <family val="1"/>
        <scheme val="major"/>
      </rPr>
      <t>2</t>
    </r>
    <r>
      <rPr>
        <b/>
        <sz val="10"/>
        <color rgb="FF002060"/>
        <rFont val="Cambria"/>
        <family val="1"/>
        <scheme val="major"/>
      </rPr>
      <t>O emissions factors for MMS</t>
    </r>
  </si>
  <si>
    <t>Dairy Cows</t>
  </si>
  <si>
    <t>Other Cattle</t>
  </si>
  <si>
    <t>Buffalo</t>
  </si>
  <si>
    <t>Sheep</t>
  </si>
  <si>
    <t>Goats</t>
  </si>
  <si>
    <t>Camels</t>
  </si>
  <si>
    <t>Horses</t>
  </si>
  <si>
    <t>Swine</t>
  </si>
  <si>
    <t>Deer</t>
  </si>
  <si>
    <t>Elephants</t>
  </si>
  <si>
    <t>Poultry</t>
  </si>
  <si>
    <t>Chicken</t>
  </si>
  <si>
    <t>Duck</t>
  </si>
  <si>
    <t>Goose</t>
  </si>
  <si>
    <t>Quail</t>
  </si>
  <si>
    <t>Emu</t>
  </si>
  <si>
    <t>Ostrich</t>
  </si>
  <si>
    <r>
      <rPr>
        <vertAlign val="superscript"/>
        <sz val="10"/>
        <color theme="1"/>
        <rFont val="Cambria"/>
        <family val="1"/>
        <scheme val="major"/>
      </rPr>
      <t xml:space="preserve">                      b</t>
    </r>
    <r>
      <rPr>
        <sz val="10"/>
        <color theme="1"/>
        <rFont val="Cambria"/>
        <family val="1"/>
        <scheme val="major"/>
      </rPr>
      <t xml:space="preserve"> Thailand TNC and SBUR Report</t>
    </r>
  </si>
  <si>
    <t>ตารางแสดงสัดส่วนของไนโตรเจนในมูลสัตว์ต่อปี</t>
  </si>
  <si>
    <t>Liquid</t>
  </si>
  <si>
    <t>Drylot</t>
  </si>
  <si>
    <t>Pasture/paddock</t>
  </si>
  <si>
    <t>Digester</t>
  </si>
  <si>
    <t>Burn for Fuel</t>
  </si>
  <si>
    <t>S</t>
  </si>
  <si>
    <r>
      <t>N</t>
    </r>
    <r>
      <rPr>
        <b/>
        <vertAlign val="subscript"/>
        <sz val="10"/>
        <color theme="1"/>
        <rFont val="Cambria"/>
        <family val="1"/>
        <scheme val="major"/>
      </rPr>
      <t>(T)</t>
    </r>
  </si>
  <si>
    <r>
      <t>N</t>
    </r>
    <r>
      <rPr>
        <b/>
        <vertAlign val="subscript"/>
        <sz val="10"/>
        <color theme="1"/>
        <rFont val="Cambria"/>
        <family val="1"/>
        <scheme val="major"/>
      </rPr>
      <t>rate(T)</t>
    </r>
  </si>
  <si>
    <r>
      <t>Nex</t>
    </r>
    <r>
      <rPr>
        <b/>
        <vertAlign val="subscript"/>
        <sz val="10"/>
        <color theme="0"/>
        <rFont val="Cambria"/>
        <family val="1"/>
        <scheme val="major"/>
      </rPr>
      <t>(T)</t>
    </r>
  </si>
  <si>
    <r>
      <t>MS</t>
    </r>
    <r>
      <rPr>
        <b/>
        <vertAlign val="subscript"/>
        <sz val="10"/>
        <color theme="0"/>
        <rFont val="Cambria"/>
        <family val="1"/>
        <scheme val="major"/>
      </rPr>
      <t>(T,S)</t>
    </r>
  </si>
  <si>
    <r>
      <t>NE</t>
    </r>
    <r>
      <rPr>
        <b/>
        <vertAlign val="subscript"/>
        <sz val="10"/>
        <color theme="0"/>
        <rFont val="Cambria"/>
        <family val="1"/>
        <scheme val="major"/>
      </rPr>
      <t>MMS</t>
    </r>
  </si>
  <si>
    <r>
      <t>EF3</t>
    </r>
    <r>
      <rPr>
        <b/>
        <vertAlign val="subscript"/>
        <sz val="10"/>
        <color theme="0"/>
        <rFont val="Cambria"/>
        <family val="1"/>
        <scheme val="major"/>
      </rPr>
      <t>(S)</t>
    </r>
  </si>
  <si>
    <r>
      <t>N</t>
    </r>
    <r>
      <rPr>
        <b/>
        <vertAlign val="subscript"/>
        <sz val="10"/>
        <color theme="0"/>
        <rFont val="Cambria"/>
        <family val="1"/>
        <scheme val="major"/>
      </rPr>
      <t>2</t>
    </r>
    <r>
      <rPr>
        <b/>
        <sz val="10"/>
        <color theme="0"/>
        <rFont val="Cambria"/>
        <family val="1"/>
        <scheme val="major"/>
      </rPr>
      <t>O</t>
    </r>
    <r>
      <rPr>
        <b/>
        <vertAlign val="subscript"/>
        <sz val="10"/>
        <color theme="0"/>
        <rFont val="Cambria"/>
        <family val="1"/>
        <scheme val="major"/>
      </rPr>
      <t xml:space="preserve">D(mm) </t>
    </r>
  </si>
  <si>
    <t>บ่อไร้ออกซิเจน</t>
  </si>
  <si>
    <t>ระบบที่เป็นของเหลว</t>
  </si>
  <si>
    <t>ผึ่งตากรายวัน</t>
  </si>
  <si>
    <t>การเก็บในที่แห้ง</t>
  </si>
  <si>
    <t>ทุ่งหญ้าเลี้ยงสัตว์ / คอก</t>
  </si>
  <si>
    <t>บ่อเก็บใต้คอก</t>
  </si>
  <si>
    <t>การเผาเป็นเชื้อเพลิง</t>
  </si>
  <si>
    <t xml:space="preserve">   Chicken</t>
  </si>
  <si>
    <t xml:space="preserve">   Duck</t>
  </si>
  <si>
    <t xml:space="preserve">   Goose</t>
  </si>
  <si>
    <t xml:space="preserve">   Quail</t>
  </si>
  <si>
    <t xml:space="preserve">   Emu</t>
  </si>
  <si>
    <t>Other2</t>
  </si>
  <si>
    <t>ตารางแสดงค่าการปล่อยก๊าซเรือนกระจกสำหรับไนตรัสออกไซด์จากระบบการจัดการมูลสัตว์</t>
  </si>
  <si>
    <t>A) Composition of waste</t>
  </si>
  <si>
    <t>B) Related factors</t>
  </si>
  <si>
    <r>
      <t>DOC</t>
    </r>
    <r>
      <rPr>
        <vertAlign val="subscript"/>
        <sz val="10"/>
        <rFont val="Cambria"/>
        <family val="1"/>
        <scheme val="major"/>
      </rPr>
      <t>mix</t>
    </r>
    <r>
      <rPr>
        <sz val="10"/>
        <rFont val="Cambria"/>
        <family val="1"/>
        <scheme val="major"/>
      </rPr>
      <t>waste</t>
    </r>
  </si>
  <si>
    <t>III.1 SWDS</t>
  </si>
  <si>
    <t>III.2 Biological Treatment of Solid Waste</t>
  </si>
  <si>
    <t>III.3 Incineration of Waste</t>
  </si>
  <si>
    <t>III.4 Wastewater Treatment</t>
  </si>
  <si>
    <t>Municipal Solid Waste (MSW) - Regional Defaults</t>
  </si>
  <si>
    <t>ขยะติดเชื้อ: Incineration</t>
  </si>
  <si>
    <t>ขยะมูลฝอยภายในพื้นที่ (จัดการภายในพื้นที่)</t>
  </si>
  <si>
    <t>ขยะมูลฝอยภายในพื้นที่ (จัดการภายนอกพื้นที่)</t>
  </si>
  <si>
    <t>ขยะมูลนอกพื้นที่ (จัดการภายในพื้นที่)</t>
  </si>
  <si>
    <t>ขยะมูลฝอยภายนอกพื้นที่ (จัดการภายในพื้นที่)</t>
  </si>
  <si>
    <t>น้ำเสียชุมชน</t>
  </si>
  <si>
    <t>น้ำเสียโรงพยาบาลและน้ำเสียอุตสาหกรรม</t>
  </si>
  <si>
    <t>ปริมาณการใช้น้ำ</t>
  </si>
  <si>
    <t xml:space="preserve">พื้นที่ปลูกข้าวโพดถูกเผาไหม้ </t>
  </si>
  <si>
    <t>รถโดยสารประจำทางหมวด 2</t>
  </si>
  <si>
    <t>No</t>
  </si>
  <si>
    <t xml:space="preserve">รถโดยสารประจำทางหมวด 3 </t>
  </si>
  <si>
    <t>ความยาวท่อในพื้นที่</t>
  </si>
  <si>
    <t>ปริมาณก๊าซธรรมชาติ</t>
  </si>
  <si>
    <t>Jet fuel (เที่ยวบินระหว่างประเทศ)</t>
  </si>
  <si>
    <t>โดยการทำ RDF/MBT*</t>
  </si>
  <si>
    <t xml:space="preserve">หมายเหตู: </t>
  </si>
  <si>
    <t>การจัดการแบบเชิงกลและชีวภาพ (MBT)</t>
  </si>
  <si>
    <t>เชื้อเพลิงขยะ (RDF)</t>
  </si>
  <si>
    <t>โดยการฝังกลบ</t>
  </si>
  <si>
    <t>โดยการทำปุ๋ย</t>
  </si>
  <si>
    <t xml:space="preserve">โดยหมักก๊าซชีวภาพ </t>
  </si>
  <si>
    <t>โดยการเผา (ระบบเปิด)</t>
  </si>
  <si>
    <t>การทำปุ๋ย
(ton/year)</t>
  </si>
  <si>
    <t>หมักก๊าซชีวภาพ 
(ton/year)</t>
  </si>
  <si>
    <t>ขยะมูลฝอยที่กำจัดถูกต้อง (site) (ton/year)</t>
  </si>
  <si>
    <t>การฝังกลบ
(ton/year)</t>
  </si>
  <si>
    <t>โดยการเผา (ระบบเปิด)
(ton/year)</t>
  </si>
  <si>
    <t>โดยการทำ RDF/MBT*
(ton/year)</t>
  </si>
  <si>
    <t>ขยะมูลฝอยชุมชน</t>
  </si>
  <si>
    <t>การใช้เชื้อเพลิง</t>
  </si>
  <si>
    <t>การใช้ไฟฟ้า</t>
  </si>
  <si>
    <t>ปริมาณการใช้ไฟฟ้า (kWh)</t>
  </si>
  <si>
    <t>ปริมาณไฟฟ้ารวม</t>
  </si>
  <si>
    <t>Type  of Aircraft</t>
  </si>
  <si>
    <t>Emission factors kg/LTO/aircraft)</t>
  </si>
  <si>
    <t xml:space="preserve"> Movements</t>
  </si>
  <si>
    <t>A-300</t>
  </si>
  <si>
    <t>A-319</t>
  </si>
  <si>
    <t>A-320</t>
  </si>
  <si>
    <t>A-321</t>
  </si>
  <si>
    <t>A-322</t>
  </si>
  <si>
    <t>A-330</t>
  </si>
  <si>
    <t>ATR-72</t>
  </si>
  <si>
    <t>B-737</t>
  </si>
  <si>
    <t>B-747</t>
  </si>
  <si>
    <t>B-747-400</t>
  </si>
  <si>
    <t>B-747SP</t>
  </si>
  <si>
    <t>B-767</t>
  </si>
  <si>
    <t>B-777</t>
  </si>
  <si>
    <t>BE-20</t>
  </si>
  <si>
    <t>BE-40</t>
  </si>
  <si>
    <t>Beech-350</t>
  </si>
  <si>
    <t>BK-117</t>
  </si>
  <si>
    <t>Cessna C-25B</t>
  </si>
  <si>
    <t>Cessna 172</t>
  </si>
  <si>
    <t>Cessna 182</t>
  </si>
  <si>
    <t>Cessna 208</t>
  </si>
  <si>
    <t>Cessna 310</t>
  </si>
  <si>
    <t>Cessna 421</t>
  </si>
  <si>
    <t>Cessna 510</t>
  </si>
  <si>
    <t>Cessna 550</t>
  </si>
  <si>
    <t>Cessna 560XL</t>
  </si>
  <si>
    <t>Cessna 650</t>
  </si>
  <si>
    <t>Cessna 680</t>
  </si>
  <si>
    <t>Cessna 750</t>
  </si>
  <si>
    <t>CL-60</t>
  </si>
  <si>
    <t>COL-4</t>
  </si>
  <si>
    <t>D-228</t>
  </si>
  <si>
    <t>DA-40</t>
  </si>
  <si>
    <t>DA-42</t>
  </si>
  <si>
    <t>DH8D</t>
  </si>
  <si>
    <t>EC-35</t>
  </si>
  <si>
    <t>EC-45</t>
  </si>
  <si>
    <t>F-2TH</t>
  </si>
  <si>
    <t>F-900</t>
  </si>
  <si>
    <t>G-200</t>
  </si>
  <si>
    <t>GA-8</t>
  </si>
  <si>
    <t>GALX</t>
  </si>
  <si>
    <t>GLEX</t>
  </si>
  <si>
    <t>GL5T</t>
  </si>
  <si>
    <t>Gulfstream VI</t>
  </si>
  <si>
    <t>H-25B</t>
  </si>
  <si>
    <t>L-39</t>
  </si>
  <si>
    <t>LJ-45</t>
  </si>
  <si>
    <t>M-20T</t>
  </si>
  <si>
    <t>MD-82</t>
  </si>
  <si>
    <t>P-337</t>
  </si>
  <si>
    <t>PA-30</t>
  </si>
  <si>
    <t>PA-31</t>
  </si>
  <si>
    <t>PA-34</t>
  </si>
  <si>
    <t>PA-46</t>
  </si>
  <si>
    <t>PRM-1</t>
  </si>
  <si>
    <t>Saab-340</t>
  </si>
  <si>
    <t>S-76</t>
  </si>
  <si>
    <t>SR-20</t>
  </si>
  <si>
    <t>SR-22</t>
  </si>
  <si>
    <t>TB-20</t>
  </si>
  <si>
    <t>TBM-7</t>
  </si>
  <si>
    <t>Sub Total</t>
  </si>
  <si>
    <t>ICAO</t>
  </si>
  <si>
    <t>SIMPLIFIED AIRCRAFT EMISSION INDICES</t>
  </si>
  <si>
    <t>IPCC</t>
  </si>
  <si>
    <t>default_IPCC</t>
  </si>
  <si>
    <t>A-310</t>
  </si>
  <si>
    <t>A-318</t>
  </si>
  <si>
    <t>A-340</t>
  </si>
  <si>
    <t>A-340-600</t>
  </si>
  <si>
    <t>AN-12</t>
  </si>
  <si>
    <t>AN-72</t>
  </si>
  <si>
    <t>AW-139</t>
  </si>
  <si>
    <t>B-727</t>
  </si>
  <si>
    <t>B-757</t>
  </si>
  <si>
    <t>B-787</t>
  </si>
  <si>
    <t>BE-30</t>
  </si>
  <si>
    <t>BE-35</t>
  </si>
  <si>
    <t>Bombadier GLEX</t>
  </si>
  <si>
    <t>C-130</t>
  </si>
  <si>
    <t>Cessna C25B</t>
  </si>
  <si>
    <t>CL-30</t>
  </si>
  <si>
    <t>CN-35</t>
  </si>
  <si>
    <t>CRJ-1</t>
  </si>
  <si>
    <t>CRJ-2</t>
  </si>
  <si>
    <t>DC-3</t>
  </si>
  <si>
    <t>DH-8D</t>
  </si>
  <si>
    <t>E-135</t>
  </si>
  <si>
    <t>FA7X</t>
  </si>
  <si>
    <t>Gulfstream II</t>
  </si>
  <si>
    <t>Gulfstream III</t>
  </si>
  <si>
    <t>IL-76</t>
  </si>
  <si>
    <t>IL-96</t>
  </si>
  <si>
    <t>LJ-35</t>
  </si>
  <si>
    <t>LJ-55</t>
  </si>
  <si>
    <t>LJ-60</t>
  </si>
  <si>
    <t>MD-83</t>
  </si>
  <si>
    <t>MD-87</t>
  </si>
  <si>
    <t>Piaggio P180</t>
  </si>
  <si>
    <t>TBM-700</t>
  </si>
  <si>
    <r>
      <t>CO</t>
    </r>
    <r>
      <rPr>
        <b/>
        <vertAlign val="subscript"/>
        <sz val="10"/>
        <color theme="0"/>
        <rFont val="Cambria"/>
        <family val="1"/>
        <scheme val="major"/>
      </rPr>
      <t>2</t>
    </r>
  </si>
  <si>
    <t>Domestic</t>
  </si>
  <si>
    <t>ข้อมูลขยะของจังหวัด</t>
  </si>
  <si>
    <t>น้ำเสียชุมชน 1</t>
  </si>
  <si>
    <t>น้ำเสียชุมชน 2</t>
  </si>
  <si>
    <t>น้ำเสียเข้าระบบบำบัด</t>
  </si>
  <si>
    <t>น้ำเสียไม่เข้าระบบบำบัด</t>
  </si>
  <si>
    <t>การย่อยกากตะกอน (Sludge digestion)</t>
  </si>
  <si>
    <t>การเผาไหม้ของพื้นที่ป่า</t>
  </si>
  <si>
    <t>การเผาไหม้ของพื้นที่เกษตรกรรม</t>
  </si>
  <si>
    <t>ข้อมูลกิจกรรมของของเสีย (Waste)</t>
  </si>
  <si>
    <t>km/L</t>
  </si>
  <si>
    <t>รถโดยสารประจำทาง</t>
  </si>
  <si>
    <t>รถตู้โดยสาร</t>
  </si>
  <si>
    <t>http://thaicarbonlabel.tgo.or.th/admin/uploadfiles/download/ts_73d0f28555.pdf</t>
  </si>
  <si>
    <t>Source:</t>
  </si>
  <si>
    <t>Emission Factor 
(kg CO2 eq/kg COD)</t>
  </si>
  <si>
    <t>Species/Livestock category</t>
  </si>
  <si>
    <t>Number of animals</t>
  </si>
  <si>
    <t>Default N excretion rate</t>
  </si>
  <si>
    <t>Typical animal mass for livestock category</t>
  </si>
  <si>
    <t>Fraction of total annual nitrogen excretion managed in MMS for each species/livestock category</t>
  </si>
  <si>
    <t>(head)</t>
  </si>
  <si>
    <t>Table 10.19</t>
  </si>
  <si>
    <t>Tables 10A-4 to 10A-9</t>
  </si>
  <si>
    <t>Tables A4-A8</t>
  </si>
  <si>
    <t>Table 10.21</t>
  </si>
  <si>
    <r>
      <t>Annual N excretion per head of species/livestock category</t>
    </r>
    <r>
      <rPr>
        <vertAlign val="superscript"/>
        <sz val="10"/>
        <rFont val="Cambria"/>
        <family val="1"/>
        <scheme val="major"/>
      </rPr>
      <t>3</t>
    </r>
  </si>
  <si>
    <r>
      <t xml:space="preserve">Total nitrogen excretion for the MMS </t>
    </r>
    <r>
      <rPr>
        <vertAlign val="superscript"/>
        <sz val="10"/>
        <rFont val="Cambria"/>
        <family val="1"/>
        <scheme val="major"/>
      </rPr>
      <t>4</t>
    </r>
  </si>
  <si>
    <r>
      <t>Emission factor for direct N</t>
    </r>
    <r>
      <rPr>
        <vertAlign val="subscript"/>
        <sz val="10"/>
        <rFont val="Cambria"/>
        <family val="1"/>
        <scheme val="major"/>
      </rPr>
      <t>2</t>
    </r>
    <r>
      <rPr>
        <sz val="10"/>
        <rFont val="Cambria"/>
        <family val="1"/>
        <scheme val="major"/>
      </rPr>
      <t xml:space="preserve">O-N emissions from MMS </t>
    </r>
  </si>
  <si>
    <r>
      <t>Annual direct N</t>
    </r>
    <r>
      <rPr>
        <vertAlign val="subscript"/>
        <sz val="10"/>
        <rFont val="Cambria"/>
        <family val="1"/>
        <scheme val="major"/>
      </rPr>
      <t>2</t>
    </r>
    <r>
      <rPr>
        <sz val="10"/>
        <rFont val="Cambria"/>
        <family val="1"/>
        <scheme val="major"/>
      </rPr>
      <t>O emissions from Manure Management</t>
    </r>
  </si>
  <si>
    <r>
      <t>(kg N yr</t>
    </r>
    <r>
      <rPr>
        <vertAlign val="superscript"/>
        <sz val="10"/>
        <rFont val="Cambria"/>
        <family val="1"/>
        <scheme val="major"/>
      </rPr>
      <t>-1</t>
    </r>
    <r>
      <rPr>
        <sz val="10"/>
        <rFont val="Cambria"/>
        <family val="1"/>
        <scheme val="major"/>
      </rPr>
      <t>)</t>
    </r>
  </si>
  <si>
    <r>
      <t>kg N</t>
    </r>
    <r>
      <rPr>
        <vertAlign val="subscript"/>
        <sz val="10"/>
        <rFont val="Cambria"/>
        <family val="1"/>
        <scheme val="major"/>
      </rPr>
      <t>2</t>
    </r>
    <r>
      <rPr>
        <sz val="10"/>
        <rFont val="Cambria"/>
        <family val="1"/>
        <scheme val="major"/>
      </rPr>
      <t>O yr</t>
    </r>
    <r>
      <rPr>
        <vertAlign val="superscript"/>
        <sz val="10"/>
        <rFont val="Cambria"/>
        <family val="1"/>
        <scheme val="major"/>
      </rPr>
      <t>-1</t>
    </r>
  </si>
  <si>
    <r>
      <t>Nex</t>
    </r>
    <r>
      <rPr>
        <vertAlign val="subscript"/>
        <sz val="10"/>
        <rFont val="Cambria"/>
        <family val="1"/>
        <scheme val="major"/>
      </rPr>
      <t>(T)</t>
    </r>
    <r>
      <rPr>
        <sz val="10"/>
        <rFont val="Cambria"/>
        <family val="1"/>
        <scheme val="major"/>
      </rPr>
      <t xml:space="preserve"> = N</t>
    </r>
    <r>
      <rPr>
        <vertAlign val="subscript"/>
        <sz val="10"/>
        <rFont val="Cambria"/>
        <family val="1"/>
        <scheme val="major"/>
      </rPr>
      <t>rate(T)</t>
    </r>
    <r>
      <rPr>
        <sz val="10"/>
        <rFont val="Cambria"/>
        <family val="1"/>
        <scheme val="major"/>
      </rPr>
      <t xml:space="preserve"> * TAM * 10</t>
    </r>
    <r>
      <rPr>
        <vertAlign val="superscript"/>
        <sz val="10"/>
        <rFont val="Cambria"/>
        <family val="1"/>
        <scheme val="major"/>
      </rPr>
      <t>-3</t>
    </r>
    <r>
      <rPr>
        <sz val="10"/>
        <rFont val="Cambria"/>
        <family val="1"/>
        <scheme val="major"/>
      </rPr>
      <t xml:space="preserve"> * 365</t>
    </r>
  </si>
  <si>
    <r>
      <t>Other</t>
    </r>
    <r>
      <rPr>
        <vertAlign val="superscript"/>
        <sz val="10"/>
        <rFont val="Cambria"/>
        <family val="1"/>
        <scheme val="major"/>
      </rPr>
      <t>2</t>
    </r>
  </si>
  <si>
    <r>
      <t xml:space="preserve">1 </t>
    </r>
    <r>
      <rPr>
        <sz val="10"/>
        <rFont val="Cambria"/>
        <family val="1"/>
        <scheme val="major"/>
      </rPr>
      <t>The calculations must be done by Manure Management System, and for each management system, the relevant species/livestock category (ies) must be selected. For the Manure Management Systems, see Table 10.18.</t>
    </r>
  </si>
  <si>
    <r>
      <t>2</t>
    </r>
    <r>
      <rPr>
        <sz val="10"/>
        <rFont val="Cambria"/>
        <family val="1"/>
        <scheme val="major"/>
      </rPr>
      <t xml:space="preserve"> Specify livestock categories as needed using additional lines (e.g. llamas, alpacas, reindeers, rabbits, fur-bearing animals etc.)</t>
    </r>
  </si>
  <si>
    <r>
      <t>3</t>
    </r>
    <r>
      <rPr>
        <sz val="10"/>
        <rFont val="Cambria"/>
        <family val="1"/>
        <scheme val="major"/>
      </rPr>
      <t xml:space="preserve"> Country-specific values are preferred to directly enter into this column. If these are not available, use default values of N</t>
    </r>
    <r>
      <rPr>
        <vertAlign val="subscript"/>
        <sz val="10"/>
        <rFont val="Cambria"/>
        <family val="1"/>
        <scheme val="major"/>
      </rPr>
      <t>rate(T)</t>
    </r>
    <r>
      <rPr>
        <sz val="10"/>
        <rFont val="Cambria"/>
        <family val="1"/>
        <scheme val="major"/>
      </rPr>
      <t xml:space="preserve"> and TAM to calculate this variable.</t>
    </r>
  </si>
  <si>
    <r>
      <t>4</t>
    </r>
    <r>
      <rPr>
        <sz val="10"/>
        <rFont val="Cambria"/>
        <family val="1"/>
        <scheme val="major"/>
      </rPr>
      <t xml:space="preserve"> This value will be input to worksheet in Indirect N</t>
    </r>
    <r>
      <rPr>
        <vertAlign val="subscript"/>
        <sz val="10"/>
        <rFont val="Cambria"/>
        <family val="1"/>
        <scheme val="major"/>
      </rPr>
      <t>2</t>
    </r>
    <r>
      <rPr>
        <sz val="10"/>
        <rFont val="Cambria"/>
        <family val="1"/>
        <scheme val="major"/>
      </rPr>
      <t>O emissions from Manure Management (see category 3C6).</t>
    </r>
  </si>
  <si>
    <t>สัตว์ปีก</t>
  </si>
  <si>
    <t>[kg N (1000 kg animal)-1 day-1]</t>
  </si>
  <si>
    <r>
      <t>(kg N animal</t>
    </r>
    <r>
      <rPr>
        <vertAlign val="superscript"/>
        <sz val="10"/>
        <rFont val="Cambria"/>
        <family val="1"/>
        <scheme val="major"/>
      </rPr>
      <t>-1</t>
    </r>
    <r>
      <rPr>
        <sz val="10"/>
        <rFont val="Cambria"/>
        <family val="1"/>
        <scheme val="major"/>
      </rPr>
      <t xml:space="preserve"> year-1)</t>
    </r>
  </si>
  <si>
    <r>
      <t>[kg N</t>
    </r>
    <r>
      <rPr>
        <vertAlign val="subscript"/>
        <sz val="10"/>
        <rFont val="Cambria"/>
        <family val="1"/>
        <scheme val="major"/>
      </rPr>
      <t>2</t>
    </r>
    <r>
      <rPr>
        <sz val="10"/>
        <rFont val="Cambria"/>
        <family val="1"/>
        <scheme val="major"/>
      </rPr>
      <t>O-N (kg N in MMS)-1]</t>
    </r>
  </si>
  <si>
    <r>
      <t>NE</t>
    </r>
    <r>
      <rPr>
        <vertAlign val="subscript"/>
        <sz val="10"/>
        <rFont val="Cambria"/>
        <family val="1"/>
        <scheme val="major"/>
      </rPr>
      <t>MMS</t>
    </r>
    <r>
      <rPr>
        <sz val="10"/>
        <rFont val="Cambria"/>
        <family val="1"/>
        <scheme val="major"/>
      </rPr>
      <t xml:space="preserve"> = N(T) * Nex(T) * MS(T,S)</t>
    </r>
  </si>
  <si>
    <r>
      <t>N</t>
    </r>
    <r>
      <rPr>
        <vertAlign val="subscript"/>
        <sz val="10"/>
        <rFont val="Cambria"/>
        <family val="1"/>
        <scheme val="major"/>
      </rPr>
      <t>2</t>
    </r>
    <r>
      <rPr>
        <sz val="10"/>
        <rFont val="Cambria"/>
        <family val="1"/>
        <scheme val="major"/>
      </rPr>
      <t>O</t>
    </r>
    <r>
      <rPr>
        <vertAlign val="subscript"/>
        <sz val="10"/>
        <rFont val="Cambria"/>
        <family val="1"/>
        <scheme val="major"/>
      </rPr>
      <t>(mm)</t>
    </r>
    <r>
      <rPr>
        <sz val="10"/>
        <rFont val="Cambria"/>
        <family val="1"/>
        <scheme val="major"/>
      </rPr>
      <t xml:space="preserve"> = NEMMS * EF3(S) * 44/28</t>
    </r>
  </si>
  <si>
    <r>
      <t>N</t>
    </r>
    <r>
      <rPr>
        <vertAlign val="subscript"/>
        <sz val="10"/>
        <rFont val="Cambria"/>
        <family val="1"/>
        <scheme val="major"/>
      </rPr>
      <t>(T)</t>
    </r>
  </si>
  <si>
    <r>
      <t>N</t>
    </r>
    <r>
      <rPr>
        <vertAlign val="subscript"/>
        <sz val="10"/>
        <rFont val="Cambria"/>
        <family val="1"/>
        <scheme val="major"/>
      </rPr>
      <t>rate(T)</t>
    </r>
  </si>
  <si>
    <r>
      <t>Nex</t>
    </r>
    <r>
      <rPr>
        <vertAlign val="subscript"/>
        <sz val="10"/>
        <rFont val="Cambria"/>
        <family val="1"/>
        <scheme val="major"/>
      </rPr>
      <t>(T)</t>
    </r>
  </si>
  <si>
    <r>
      <t>MS</t>
    </r>
    <r>
      <rPr>
        <vertAlign val="subscript"/>
        <sz val="10"/>
        <rFont val="Cambria"/>
        <family val="1"/>
        <scheme val="major"/>
      </rPr>
      <t>(T,S)</t>
    </r>
  </si>
  <si>
    <r>
      <t>NE</t>
    </r>
    <r>
      <rPr>
        <vertAlign val="subscript"/>
        <sz val="10"/>
        <rFont val="Cambria"/>
        <family val="1"/>
        <scheme val="major"/>
      </rPr>
      <t>MMS</t>
    </r>
  </si>
  <si>
    <r>
      <t>EF</t>
    </r>
    <r>
      <rPr>
        <vertAlign val="subscript"/>
        <sz val="10"/>
        <rFont val="Cambria"/>
        <family val="1"/>
        <scheme val="major"/>
      </rPr>
      <t>3(S)</t>
    </r>
  </si>
  <si>
    <r>
      <t>N</t>
    </r>
    <r>
      <rPr>
        <vertAlign val="subscript"/>
        <sz val="10"/>
        <rFont val="Cambria"/>
        <family val="1"/>
        <scheme val="major"/>
      </rPr>
      <t>2</t>
    </r>
    <r>
      <rPr>
        <sz val="10"/>
        <rFont val="Cambria"/>
        <family val="1"/>
        <scheme val="major"/>
      </rPr>
      <t>O</t>
    </r>
    <r>
      <rPr>
        <vertAlign val="subscript"/>
        <sz val="10"/>
        <rFont val="Cambria"/>
        <family val="1"/>
        <scheme val="major"/>
      </rPr>
      <t xml:space="preserve">D(mm) </t>
    </r>
  </si>
  <si>
    <t>Type of lime applied</t>
  </si>
  <si>
    <t>Emission factor</t>
  </si>
  <si>
    <t>Annual C emissions from liming</t>
  </si>
  <si>
    <t>default is 0.12</t>
  </si>
  <si>
    <t>default is 0.13</t>
  </si>
  <si>
    <t>Limestone</t>
  </si>
  <si>
    <t>Dolomite</t>
  </si>
  <si>
    <r>
      <t>Annual amount of calcic limestone (CaCO</t>
    </r>
    <r>
      <rPr>
        <vertAlign val="subscript"/>
        <sz val="10"/>
        <rFont val="Cambria"/>
        <family val="1"/>
        <scheme val="major"/>
      </rPr>
      <t>3</t>
    </r>
    <r>
      <rPr>
        <sz val="10"/>
        <rFont val="Cambria"/>
        <family val="1"/>
        <scheme val="major"/>
      </rPr>
      <t xml:space="preserve">) </t>
    </r>
  </si>
  <si>
    <r>
      <t>Annual amount of dolomite (CaMg(CO</t>
    </r>
    <r>
      <rPr>
        <vertAlign val="subscript"/>
        <sz val="10"/>
        <rFont val="Cambria"/>
        <family val="1"/>
        <scheme val="major"/>
      </rPr>
      <t>3</t>
    </r>
    <r>
      <rPr>
        <sz val="10"/>
        <rFont val="Cambria"/>
        <family val="1"/>
        <scheme val="major"/>
      </rPr>
      <t>)</t>
    </r>
    <r>
      <rPr>
        <vertAlign val="subscript"/>
        <sz val="10"/>
        <rFont val="Cambria"/>
        <family val="1"/>
        <scheme val="major"/>
      </rPr>
      <t>2</t>
    </r>
    <r>
      <rPr>
        <sz val="10"/>
        <rFont val="Cambria"/>
        <family val="1"/>
        <scheme val="major"/>
      </rPr>
      <t>)</t>
    </r>
  </si>
  <si>
    <r>
      <t>(tonnes yr</t>
    </r>
    <r>
      <rPr>
        <vertAlign val="superscript"/>
        <sz val="10"/>
        <rFont val="Cambria"/>
        <family val="1"/>
        <scheme val="major"/>
      </rPr>
      <t>-1</t>
    </r>
    <r>
      <rPr>
        <sz val="10"/>
        <rFont val="Cambria"/>
        <family val="1"/>
        <scheme val="major"/>
      </rPr>
      <t>)</t>
    </r>
  </si>
  <si>
    <r>
      <t>[tonnes of C (tonne of limestone)</t>
    </r>
    <r>
      <rPr>
        <vertAlign val="superscript"/>
        <sz val="10"/>
        <rFont val="Cambria"/>
        <family val="1"/>
        <scheme val="major"/>
      </rPr>
      <t>-1</t>
    </r>
    <r>
      <rPr>
        <sz val="10"/>
        <rFont val="Cambria"/>
        <family val="1"/>
        <scheme val="major"/>
      </rPr>
      <t>]</t>
    </r>
  </si>
  <si>
    <r>
      <t>[tonnes of C (tonne of dolomite)</t>
    </r>
    <r>
      <rPr>
        <vertAlign val="superscript"/>
        <sz val="10"/>
        <rFont val="Cambria"/>
        <family val="1"/>
        <scheme val="major"/>
      </rPr>
      <t>-1</t>
    </r>
    <r>
      <rPr>
        <sz val="10"/>
        <rFont val="Cambria"/>
        <family val="1"/>
        <scheme val="major"/>
      </rPr>
      <t>]</t>
    </r>
  </si>
  <si>
    <r>
      <t>CO</t>
    </r>
    <r>
      <rPr>
        <vertAlign val="subscript"/>
        <sz val="10"/>
        <rFont val="Cambria"/>
        <family val="1"/>
        <scheme val="major"/>
      </rPr>
      <t>2</t>
    </r>
    <r>
      <rPr>
        <sz val="10"/>
        <rFont val="Cambria"/>
        <family val="1"/>
        <scheme val="major"/>
      </rPr>
      <t>-C Emission = (M</t>
    </r>
    <r>
      <rPr>
        <vertAlign val="subscript"/>
        <sz val="10"/>
        <rFont val="Cambria"/>
        <family val="1"/>
        <scheme val="major"/>
      </rPr>
      <t>Limestone</t>
    </r>
    <r>
      <rPr>
        <sz val="10"/>
        <rFont val="Cambria"/>
        <family val="1"/>
        <scheme val="major"/>
      </rPr>
      <t xml:space="preserve"> * EF</t>
    </r>
    <r>
      <rPr>
        <vertAlign val="subscript"/>
        <sz val="10"/>
        <rFont val="Cambria"/>
        <family val="1"/>
        <scheme val="major"/>
      </rPr>
      <t>Limestone</t>
    </r>
    <r>
      <rPr>
        <sz val="10"/>
        <rFont val="Cambria"/>
        <family val="1"/>
        <scheme val="major"/>
      </rPr>
      <t>) + (M</t>
    </r>
    <r>
      <rPr>
        <vertAlign val="subscript"/>
        <sz val="10"/>
        <rFont val="Cambria"/>
        <family val="1"/>
        <scheme val="major"/>
      </rPr>
      <t>Dolomite</t>
    </r>
    <r>
      <rPr>
        <sz val="10"/>
        <rFont val="Cambria"/>
        <family val="1"/>
        <scheme val="major"/>
      </rPr>
      <t xml:space="preserve"> * EF</t>
    </r>
    <r>
      <rPr>
        <vertAlign val="subscript"/>
        <sz val="10"/>
        <rFont val="Cambria"/>
        <family val="1"/>
        <scheme val="major"/>
      </rPr>
      <t>Dolomite</t>
    </r>
    <r>
      <rPr>
        <sz val="10"/>
        <rFont val="Cambria"/>
        <family val="1"/>
        <scheme val="major"/>
      </rPr>
      <t>)</t>
    </r>
  </si>
  <si>
    <r>
      <t>M</t>
    </r>
    <r>
      <rPr>
        <b/>
        <vertAlign val="subscript"/>
        <sz val="10"/>
        <rFont val="Cambria"/>
        <family val="1"/>
        <scheme val="major"/>
      </rPr>
      <t>Limestone</t>
    </r>
  </si>
  <si>
    <r>
      <t>EF</t>
    </r>
    <r>
      <rPr>
        <b/>
        <vertAlign val="subscript"/>
        <sz val="10"/>
        <rFont val="Cambria"/>
        <family val="1"/>
        <scheme val="major"/>
      </rPr>
      <t>Limestone</t>
    </r>
  </si>
  <si>
    <r>
      <t>M</t>
    </r>
    <r>
      <rPr>
        <b/>
        <vertAlign val="subscript"/>
        <sz val="10"/>
        <rFont val="Cambria"/>
        <family val="1"/>
        <scheme val="major"/>
      </rPr>
      <t>Dolomite</t>
    </r>
  </si>
  <si>
    <r>
      <t>EF</t>
    </r>
    <r>
      <rPr>
        <b/>
        <vertAlign val="subscript"/>
        <sz val="10"/>
        <rFont val="Cambria"/>
        <family val="1"/>
        <scheme val="major"/>
      </rPr>
      <t>Dolomite</t>
    </r>
  </si>
  <si>
    <t>Annual amount of Urea Fertilization</t>
  </si>
  <si>
    <r>
      <t>Annual CO</t>
    </r>
    <r>
      <rPr>
        <vertAlign val="subscript"/>
        <sz val="9"/>
        <rFont val="Arial"/>
        <family val="2"/>
      </rPr>
      <t>2</t>
    </r>
    <r>
      <rPr>
        <sz val="9"/>
        <rFont val="Arial"/>
        <family val="2"/>
      </rPr>
      <t>-C emissions from Urea Fertilization</t>
    </r>
  </si>
  <si>
    <r>
      <t>(tonnes urea yr</t>
    </r>
    <r>
      <rPr>
        <vertAlign val="superscript"/>
        <sz val="9"/>
        <rFont val="Arial"/>
        <family val="2"/>
      </rPr>
      <t>-1</t>
    </r>
    <r>
      <rPr>
        <sz val="9"/>
        <rFont val="Arial"/>
        <family val="2"/>
      </rPr>
      <t>)</t>
    </r>
  </si>
  <si>
    <r>
      <t>[tonnes of C (tonne of urea)</t>
    </r>
    <r>
      <rPr>
        <vertAlign val="superscript"/>
        <sz val="9"/>
        <rFont val="Arial"/>
        <family val="2"/>
      </rPr>
      <t>-1</t>
    </r>
    <r>
      <rPr>
        <sz val="9"/>
        <rFont val="Arial"/>
        <family val="2"/>
      </rPr>
      <t>]</t>
    </r>
  </si>
  <si>
    <t>default is 0.20</t>
  </si>
  <si>
    <r>
      <t>CO</t>
    </r>
    <r>
      <rPr>
        <vertAlign val="subscript"/>
        <sz val="9"/>
        <rFont val="Arial"/>
        <family val="2"/>
      </rPr>
      <t>2</t>
    </r>
    <r>
      <rPr>
        <sz val="9"/>
        <rFont val="Arial"/>
        <family val="2"/>
      </rPr>
      <t>-C Emission = M * EF</t>
    </r>
  </si>
  <si>
    <t>(c)</t>
  </si>
  <si>
    <t>Anthropogenic N input type</t>
  </si>
  <si>
    <t>Annual amount of N applied</t>
  </si>
  <si>
    <r>
      <t>(kg N yr</t>
    </r>
    <r>
      <rPr>
        <vertAlign val="superscript"/>
        <sz val="9"/>
        <rFont val="Arial"/>
        <family val="2"/>
      </rPr>
      <t>-1</t>
    </r>
    <r>
      <rPr>
        <sz val="9"/>
        <rFont val="Arial"/>
        <family val="2"/>
      </rPr>
      <t>)</t>
    </r>
  </si>
  <si>
    <r>
      <t>(kg N</t>
    </r>
    <r>
      <rPr>
        <vertAlign val="subscript"/>
        <sz val="9"/>
        <rFont val="Arial"/>
        <family val="2"/>
      </rPr>
      <t>2</t>
    </r>
    <r>
      <rPr>
        <sz val="9"/>
        <rFont val="Arial"/>
        <family val="2"/>
      </rPr>
      <t>O-N  yr</t>
    </r>
    <r>
      <rPr>
        <vertAlign val="superscript"/>
        <sz val="9"/>
        <rFont val="Arial"/>
        <family val="2"/>
      </rPr>
      <t>-1</t>
    </r>
    <r>
      <rPr>
        <sz val="9"/>
        <rFont val="Arial"/>
        <family val="2"/>
      </rPr>
      <t>)</t>
    </r>
  </si>
  <si>
    <t>Table 11.1</t>
  </si>
  <si>
    <t>synthetic fertilizers</t>
  </si>
  <si>
    <t>animal manure, compost, sewage sludge</t>
  </si>
  <si>
    <t>crop residues</t>
  </si>
  <si>
    <t>changes to land use or management</t>
  </si>
  <si>
    <t>Annual area of managed/drained organic soils</t>
  </si>
  <si>
    <t>Amount of urine and dung N deposited by grazing animals on pasture, range and paddock</t>
  </si>
  <si>
    <t>Managed organic soils</t>
  </si>
  <si>
    <t>CG, Temp</t>
  </si>
  <si>
    <t>CG, Trop</t>
  </si>
  <si>
    <t>F, Temp, NR</t>
  </si>
  <si>
    <t>F, Temp, NP</t>
  </si>
  <si>
    <t>F, Trop</t>
  </si>
  <si>
    <t>Urine and dung inputs to grazed soils</t>
  </si>
  <si>
    <t>CPP</t>
  </si>
  <si>
    <t>SO</t>
  </si>
  <si>
    <r>
      <t>Emission factor for N</t>
    </r>
    <r>
      <rPr>
        <vertAlign val="subscript"/>
        <sz val="10"/>
        <rFont val="Cambria"/>
        <family val="1"/>
        <scheme val="major"/>
      </rPr>
      <t>2</t>
    </r>
    <r>
      <rPr>
        <sz val="10"/>
        <rFont val="Cambria"/>
        <family val="1"/>
        <scheme val="major"/>
      </rPr>
      <t>O emissions from N inputs</t>
    </r>
  </si>
  <si>
    <r>
      <t>Annual direct N</t>
    </r>
    <r>
      <rPr>
        <vertAlign val="subscript"/>
        <sz val="10"/>
        <color indexed="8"/>
        <rFont val="Cambria"/>
        <family val="1"/>
        <scheme val="major"/>
      </rPr>
      <t>2</t>
    </r>
    <r>
      <rPr>
        <sz val="10"/>
        <color indexed="8"/>
        <rFont val="Cambria"/>
        <family val="1"/>
        <scheme val="major"/>
      </rPr>
      <t>O-N emissions produced from managed soils</t>
    </r>
  </si>
  <si>
    <r>
      <t>(kg N</t>
    </r>
    <r>
      <rPr>
        <vertAlign val="subscript"/>
        <sz val="10"/>
        <rFont val="Cambria"/>
        <family val="1"/>
        <scheme val="major"/>
      </rPr>
      <t>2</t>
    </r>
    <r>
      <rPr>
        <sz val="10"/>
        <rFont val="Cambria"/>
        <family val="1"/>
        <scheme val="major"/>
      </rPr>
      <t>O-N  yr</t>
    </r>
    <r>
      <rPr>
        <vertAlign val="superscript"/>
        <sz val="10"/>
        <rFont val="Cambria"/>
        <family val="1"/>
        <scheme val="major"/>
      </rPr>
      <t>-1</t>
    </r>
    <r>
      <rPr>
        <sz val="10"/>
        <rFont val="Cambria"/>
        <family val="1"/>
        <scheme val="major"/>
      </rPr>
      <t>)</t>
    </r>
  </si>
  <si>
    <r>
      <t>N</t>
    </r>
    <r>
      <rPr>
        <vertAlign val="subscript"/>
        <sz val="10"/>
        <color indexed="8"/>
        <rFont val="Cambria"/>
        <family val="1"/>
        <scheme val="major"/>
      </rPr>
      <t>2</t>
    </r>
    <r>
      <rPr>
        <sz val="10"/>
        <color indexed="8"/>
        <rFont val="Cambria"/>
        <family val="1"/>
        <scheme val="major"/>
      </rPr>
      <t>O-N</t>
    </r>
    <r>
      <rPr>
        <vertAlign val="subscript"/>
        <sz val="10"/>
        <color indexed="8"/>
        <rFont val="Cambria"/>
        <family val="1"/>
        <scheme val="major"/>
      </rPr>
      <t>N inputs</t>
    </r>
    <r>
      <rPr>
        <sz val="10"/>
        <color indexed="8"/>
        <rFont val="Cambria"/>
        <family val="1"/>
        <scheme val="major"/>
      </rPr>
      <t xml:space="preserve"> = F * EF</t>
    </r>
  </si>
  <si>
    <r>
      <t>N</t>
    </r>
    <r>
      <rPr>
        <b/>
        <vertAlign val="subscript"/>
        <sz val="10"/>
        <color indexed="8"/>
        <rFont val="Cambria"/>
        <family val="1"/>
        <scheme val="major"/>
      </rPr>
      <t>2</t>
    </r>
    <r>
      <rPr>
        <b/>
        <sz val="10"/>
        <color indexed="8"/>
        <rFont val="Cambria"/>
        <family val="1"/>
        <scheme val="major"/>
      </rPr>
      <t>O-N</t>
    </r>
    <r>
      <rPr>
        <b/>
        <vertAlign val="subscript"/>
        <sz val="10"/>
        <color indexed="8"/>
        <rFont val="Cambria"/>
        <family val="1"/>
        <scheme val="major"/>
      </rPr>
      <t>N inputs</t>
    </r>
  </si>
  <si>
    <r>
      <t>Anthropogenic N input types to estimate annual direct N</t>
    </r>
    <r>
      <rPr>
        <vertAlign val="subscript"/>
        <sz val="10"/>
        <rFont val="Cambria"/>
        <family val="1"/>
        <scheme val="major"/>
      </rPr>
      <t>2</t>
    </r>
    <r>
      <rPr>
        <sz val="10"/>
        <rFont val="Cambria"/>
        <family val="1"/>
        <scheme val="major"/>
      </rPr>
      <t>O-N emissions produced from managed soils</t>
    </r>
  </si>
  <si>
    <r>
      <t>F</t>
    </r>
    <r>
      <rPr>
        <vertAlign val="subscript"/>
        <sz val="10"/>
        <rFont val="Cambria"/>
        <family val="1"/>
        <scheme val="major"/>
      </rPr>
      <t>SN</t>
    </r>
    <r>
      <rPr>
        <sz val="10"/>
        <rFont val="Cambria"/>
        <family val="1"/>
        <scheme val="major"/>
      </rPr>
      <t>: N in synthetic fertilizers</t>
    </r>
  </si>
  <si>
    <r>
      <t>EF</t>
    </r>
    <r>
      <rPr>
        <vertAlign val="subscript"/>
        <sz val="10"/>
        <rFont val="Cambria"/>
        <family val="1"/>
        <scheme val="major"/>
      </rPr>
      <t>1</t>
    </r>
  </si>
  <si>
    <r>
      <t>F</t>
    </r>
    <r>
      <rPr>
        <vertAlign val="subscript"/>
        <sz val="10"/>
        <rFont val="Cambria"/>
        <family val="1"/>
        <scheme val="major"/>
      </rPr>
      <t>ON</t>
    </r>
    <r>
      <rPr>
        <sz val="10"/>
        <rFont val="Cambria"/>
        <family val="1"/>
        <scheme val="major"/>
      </rPr>
      <t>: N in animal manure, compost, sewage sludge, other</t>
    </r>
  </si>
  <si>
    <r>
      <t>F</t>
    </r>
    <r>
      <rPr>
        <vertAlign val="subscript"/>
        <sz val="10"/>
        <rFont val="Cambria"/>
        <family val="1"/>
        <scheme val="major"/>
      </rPr>
      <t>CR</t>
    </r>
    <r>
      <rPr>
        <sz val="10"/>
        <rFont val="Cambria"/>
        <family val="1"/>
        <scheme val="major"/>
      </rPr>
      <t>: N in crop residues</t>
    </r>
  </si>
  <si>
    <r>
      <t>F</t>
    </r>
    <r>
      <rPr>
        <vertAlign val="subscript"/>
        <sz val="10"/>
        <rFont val="Cambria"/>
        <family val="1"/>
        <scheme val="major"/>
      </rPr>
      <t>SOM</t>
    </r>
    <r>
      <rPr>
        <sz val="10"/>
        <rFont val="Cambria"/>
        <family val="1"/>
        <scheme val="major"/>
      </rPr>
      <t>: N in mineral soils that is mineralised, in association with loss of soil C from soil organic matter as a result of changes to land use or management</t>
    </r>
  </si>
  <si>
    <r>
      <t>Anthropogenic N input types to estimate annual direct N</t>
    </r>
    <r>
      <rPr>
        <vertAlign val="subscript"/>
        <sz val="10"/>
        <rFont val="Cambria"/>
        <family val="1"/>
        <scheme val="major"/>
      </rPr>
      <t>2</t>
    </r>
    <r>
      <rPr>
        <sz val="10"/>
        <rFont val="Cambria"/>
        <family val="1"/>
        <scheme val="major"/>
      </rPr>
      <t>O-N emissions produced from flooded rice</t>
    </r>
  </si>
  <si>
    <r>
      <t>EF</t>
    </r>
    <r>
      <rPr>
        <vertAlign val="subscript"/>
        <sz val="10"/>
        <rFont val="Cambria"/>
        <family val="1"/>
        <scheme val="major"/>
      </rPr>
      <t>1FR</t>
    </r>
  </si>
  <si>
    <r>
      <t>Anthropogenic N input type</t>
    </r>
    <r>
      <rPr>
        <vertAlign val="superscript"/>
        <sz val="10"/>
        <rFont val="Cambria"/>
        <family val="1"/>
        <scheme val="major"/>
      </rPr>
      <t>1,2</t>
    </r>
  </si>
  <si>
    <r>
      <t>Emission factor for  N</t>
    </r>
    <r>
      <rPr>
        <vertAlign val="subscript"/>
        <sz val="10"/>
        <rFont val="Cambria"/>
        <family val="1"/>
        <scheme val="major"/>
      </rPr>
      <t>2</t>
    </r>
    <r>
      <rPr>
        <sz val="10"/>
        <rFont val="Cambria"/>
        <family val="1"/>
        <scheme val="major"/>
      </rPr>
      <t>O emissions from drained/managed organic soils</t>
    </r>
  </si>
  <si>
    <r>
      <t>Emission factor for N</t>
    </r>
    <r>
      <rPr>
        <vertAlign val="subscript"/>
        <sz val="10"/>
        <rFont val="Cambria"/>
        <family val="1"/>
        <scheme val="major"/>
      </rPr>
      <t>2</t>
    </r>
    <r>
      <rPr>
        <sz val="10"/>
        <rFont val="Cambria"/>
        <family val="1"/>
        <scheme val="major"/>
      </rPr>
      <t>O emissions from urine and dung N deposited on pasture, range and paddock by grazing animals</t>
    </r>
  </si>
  <si>
    <r>
      <t>Annual direct N</t>
    </r>
    <r>
      <rPr>
        <vertAlign val="subscript"/>
        <sz val="10"/>
        <rFont val="Cambria"/>
        <family val="1"/>
        <scheme val="major"/>
      </rPr>
      <t>2</t>
    </r>
    <r>
      <rPr>
        <sz val="10"/>
        <rFont val="Cambria"/>
        <family val="1"/>
        <scheme val="major"/>
      </rPr>
      <t>O emissions from urine and dung inputs to grazed soils</t>
    </r>
  </si>
  <si>
    <r>
      <t>(kg N</t>
    </r>
    <r>
      <rPr>
        <vertAlign val="subscript"/>
        <sz val="10"/>
        <rFont val="Cambria"/>
        <family val="1"/>
        <scheme val="major"/>
      </rPr>
      <t>2</t>
    </r>
    <r>
      <rPr>
        <sz val="10"/>
        <rFont val="Cambria"/>
        <family val="1"/>
        <scheme val="major"/>
      </rPr>
      <t>O-N</t>
    </r>
  </si>
  <si>
    <r>
      <t>[kg N</t>
    </r>
    <r>
      <rPr>
        <vertAlign val="subscript"/>
        <sz val="10"/>
        <rFont val="Cambria"/>
        <family val="1"/>
        <scheme val="major"/>
      </rPr>
      <t>2</t>
    </r>
    <r>
      <rPr>
        <sz val="10"/>
        <rFont val="Cambria"/>
        <family val="1"/>
        <scheme val="major"/>
      </rPr>
      <t>O-N</t>
    </r>
  </si>
  <si>
    <r>
      <t>(kg N</t>
    </r>
    <r>
      <rPr>
        <vertAlign val="subscript"/>
        <sz val="10"/>
        <rFont val="Cambria"/>
        <family val="1"/>
        <scheme val="major"/>
      </rPr>
      <t>2</t>
    </r>
    <r>
      <rPr>
        <sz val="10"/>
        <rFont val="Cambria"/>
        <family val="1"/>
        <scheme val="major"/>
      </rPr>
      <t>O-N yr</t>
    </r>
    <r>
      <rPr>
        <vertAlign val="superscript"/>
        <sz val="10"/>
        <rFont val="Cambria"/>
        <family val="1"/>
        <scheme val="major"/>
      </rPr>
      <t>-1</t>
    </r>
    <r>
      <rPr>
        <sz val="10"/>
        <rFont val="Cambria"/>
        <family val="1"/>
        <scheme val="major"/>
      </rPr>
      <t>)</t>
    </r>
  </si>
  <si>
    <r>
      <t>(kg N input)</t>
    </r>
    <r>
      <rPr>
        <vertAlign val="superscript"/>
        <sz val="10"/>
        <rFont val="Cambria"/>
        <family val="1"/>
        <scheme val="major"/>
      </rPr>
      <t>-1</t>
    </r>
    <r>
      <rPr>
        <sz val="10"/>
        <rFont val="Cambria"/>
        <family val="1"/>
        <scheme val="major"/>
      </rPr>
      <t>]</t>
    </r>
  </si>
  <si>
    <r>
      <t>N</t>
    </r>
    <r>
      <rPr>
        <vertAlign val="subscript"/>
        <sz val="10"/>
        <rFont val="Cambria"/>
        <family val="1"/>
        <scheme val="major"/>
      </rPr>
      <t>2</t>
    </r>
    <r>
      <rPr>
        <sz val="10"/>
        <rFont val="Cambria"/>
        <family val="1"/>
        <scheme val="major"/>
      </rPr>
      <t>O-N</t>
    </r>
    <r>
      <rPr>
        <vertAlign val="subscript"/>
        <sz val="10"/>
        <rFont val="Cambria"/>
        <family val="1"/>
        <scheme val="major"/>
      </rPr>
      <t>OS</t>
    </r>
    <r>
      <rPr>
        <sz val="10"/>
        <rFont val="Cambria"/>
        <family val="1"/>
        <scheme val="major"/>
      </rPr>
      <t xml:space="preserve"> = F</t>
    </r>
    <r>
      <rPr>
        <vertAlign val="subscript"/>
        <sz val="10"/>
        <rFont val="Cambria"/>
        <family val="1"/>
        <scheme val="major"/>
      </rPr>
      <t>OS</t>
    </r>
    <r>
      <rPr>
        <sz val="10"/>
        <rFont val="Cambria"/>
        <family val="1"/>
        <scheme val="major"/>
      </rPr>
      <t xml:space="preserve"> * EF</t>
    </r>
    <r>
      <rPr>
        <vertAlign val="subscript"/>
        <sz val="10"/>
        <rFont val="Cambria"/>
        <family val="1"/>
        <scheme val="major"/>
      </rPr>
      <t>2</t>
    </r>
  </si>
  <si>
    <r>
      <t>N</t>
    </r>
    <r>
      <rPr>
        <vertAlign val="subscript"/>
        <sz val="10"/>
        <rFont val="Cambria"/>
        <family val="1"/>
        <scheme val="major"/>
      </rPr>
      <t>2</t>
    </r>
    <r>
      <rPr>
        <sz val="10"/>
        <rFont val="Cambria"/>
        <family val="1"/>
        <scheme val="major"/>
      </rPr>
      <t>O-N</t>
    </r>
    <r>
      <rPr>
        <vertAlign val="subscript"/>
        <sz val="10"/>
        <rFont val="Cambria"/>
        <family val="1"/>
        <scheme val="major"/>
      </rPr>
      <t>PRP</t>
    </r>
    <r>
      <rPr>
        <sz val="10"/>
        <rFont val="Cambria"/>
        <family val="1"/>
        <scheme val="major"/>
      </rPr>
      <t xml:space="preserve"> = F</t>
    </r>
    <r>
      <rPr>
        <vertAlign val="subscript"/>
        <sz val="10"/>
        <rFont val="Cambria"/>
        <family val="1"/>
        <scheme val="major"/>
      </rPr>
      <t>PRP</t>
    </r>
    <r>
      <rPr>
        <sz val="10"/>
        <rFont val="Cambria"/>
        <family val="1"/>
        <scheme val="major"/>
      </rPr>
      <t xml:space="preserve"> * EF</t>
    </r>
    <r>
      <rPr>
        <vertAlign val="subscript"/>
        <sz val="10"/>
        <rFont val="Cambria"/>
        <family val="1"/>
        <scheme val="major"/>
      </rPr>
      <t>3PRP</t>
    </r>
  </si>
  <si>
    <r>
      <t>N</t>
    </r>
    <r>
      <rPr>
        <vertAlign val="subscript"/>
        <sz val="10"/>
        <rFont val="Cambria"/>
        <family val="1"/>
        <scheme val="major"/>
      </rPr>
      <t>2</t>
    </r>
    <r>
      <rPr>
        <sz val="10"/>
        <rFont val="Cambria"/>
        <family val="1"/>
        <scheme val="major"/>
      </rPr>
      <t>O</t>
    </r>
    <r>
      <rPr>
        <vertAlign val="subscript"/>
        <sz val="10"/>
        <rFont val="Cambria"/>
        <family val="1"/>
        <scheme val="major"/>
      </rPr>
      <t>Direct</t>
    </r>
    <r>
      <rPr>
        <sz val="10"/>
        <rFont val="Cambria"/>
        <family val="1"/>
        <scheme val="major"/>
      </rPr>
      <t>-N = N</t>
    </r>
    <r>
      <rPr>
        <vertAlign val="subscript"/>
        <sz val="10"/>
        <rFont val="Cambria"/>
        <family val="1"/>
        <scheme val="major"/>
      </rPr>
      <t>2</t>
    </r>
    <r>
      <rPr>
        <sz val="10"/>
        <rFont val="Cambria"/>
        <family val="1"/>
        <scheme val="major"/>
      </rPr>
      <t>O-N</t>
    </r>
    <r>
      <rPr>
        <vertAlign val="subscript"/>
        <sz val="10"/>
        <rFont val="Cambria"/>
        <family val="1"/>
        <scheme val="major"/>
      </rPr>
      <t>N input</t>
    </r>
    <r>
      <rPr>
        <sz val="10"/>
        <rFont val="Cambria"/>
        <family val="1"/>
        <scheme val="major"/>
      </rPr>
      <t xml:space="preserve"> + N</t>
    </r>
    <r>
      <rPr>
        <vertAlign val="subscript"/>
        <sz val="10"/>
        <rFont val="Cambria"/>
        <family val="1"/>
        <scheme val="major"/>
      </rPr>
      <t>2</t>
    </r>
    <r>
      <rPr>
        <sz val="10"/>
        <rFont val="Cambria"/>
        <family val="1"/>
        <scheme val="major"/>
      </rPr>
      <t>O-N</t>
    </r>
    <r>
      <rPr>
        <vertAlign val="subscript"/>
        <sz val="10"/>
        <rFont val="Cambria"/>
        <family val="1"/>
        <scheme val="major"/>
      </rPr>
      <t>OS</t>
    </r>
    <r>
      <rPr>
        <sz val="10"/>
        <rFont val="Cambria"/>
        <family val="1"/>
        <scheme val="major"/>
      </rPr>
      <t xml:space="preserve"> + N</t>
    </r>
    <r>
      <rPr>
        <vertAlign val="subscript"/>
        <sz val="10"/>
        <rFont val="Cambria"/>
        <family val="1"/>
        <scheme val="major"/>
      </rPr>
      <t>2</t>
    </r>
    <r>
      <rPr>
        <sz val="10"/>
        <rFont val="Cambria"/>
        <family val="1"/>
        <scheme val="major"/>
      </rPr>
      <t>O-N</t>
    </r>
    <r>
      <rPr>
        <vertAlign val="subscript"/>
        <sz val="10"/>
        <rFont val="Cambria"/>
        <family val="1"/>
        <scheme val="major"/>
      </rPr>
      <t>PRP</t>
    </r>
  </si>
  <si>
    <r>
      <t>F</t>
    </r>
    <r>
      <rPr>
        <b/>
        <vertAlign val="subscript"/>
        <sz val="10"/>
        <rFont val="Cambria"/>
        <family val="1"/>
        <scheme val="major"/>
      </rPr>
      <t>OS</t>
    </r>
  </si>
  <si>
    <r>
      <t>EF</t>
    </r>
    <r>
      <rPr>
        <b/>
        <vertAlign val="subscript"/>
        <sz val="10"/>
        <rFont val="Cambria"/>
        <family val="1"/>
        <scheme val="major"/>
      </rPr>
      <t>2</t>
    </r>
  </si>
  <si>
    <r>
      <t>N</t>
    </r>
    <r>
      <rPr>
        <b/>
        <vertAlign val="subscript"/>
        <sz val="10"/>
        <rFont val="Cambria"/>
        <family val="1"/>
        <scheme val="major"/>
      </rPr>
      <t>2</t>
    </r>
    <r>
      <rPr>
        <b/>
        <sz val="10"/>
        <rFont val="Cambria"/>
        <family val="1"/>
        <scheme val="major"/>
      </rPr>
      <t>O-N</t>
    </r>
    <r>
      <rPr>
        <b/>
        <vertAlign val="subscript"/>
        <sz val="10"/>
        <rFont val="Cambria"/>
        <family val="1"/>
        <scheme val="major"/>
      </rPr>
      <t>OS</t>
    </r>
  </si>
  <si>
    <r>
      <t>F</t>
    </r>
    <r>
      <rPr>
        <b/>
        <vertAlign val="subscript"/>
        <sz val="10"/>
        <rFont val="Cambria"/>
        <family val="1"/>
        <scheme val="major"/>
      </rPr>
      <t>PRP</t>
    </r>
  </si>
  <si>
    <r>
      <t>EF</t>
    </r>
    <r>
      <rPr>
        <b/>
        <vertAlign val="subscript"/>
        <sz val="10"/>
        <rFont val="Cambria"/>
        <family val="1"/>
        <scheme val="major"/>
      </rPr>
      <t>3PRP</t>
    </r>
  </si>
  <si>
    <r>
      <t>N</t>
    </r>
    <r>
      <rPr>
        <b/>
        <vertAlign val="subscript"/>
        <sz val="10"/>
        <rFont val="Cambria"/>
        <family val="1"/>
        <scheme val="major"/>
      </rPr>
      <t>2</t>
    </r>
    <r>
      <rPr>
        <b/>
        <sz val="10"/>
        <rFont val="Cambria"/>
        <family val="1"/>
        <scheme val="major"/>
      </rPr>
      <t>O-N</t>
    </r>
    <r>
      <rPr>
        <b/>
        <vertAlign val="subscript"/>
        <sz val="10"/>
        <rFont val="Cambria"/>
        <family val="1"/>
        <scheme val="major"/>
      </rPr>
      <t>PRP</t>
    </r>
  </si>
  <si>
    <r>
      <t>N</t>
    </r>
    <r>
      <rPr>
        <b/>
        <vertAlign val="subscript"/>
        <sz val="10"/>
        <rFont val="Cambria"/>
        <family val="1"/>
        <scheme val="major"/>
      </rPr>
      <t>2</t>
    </r>
    <r>
      <rPr>
        <b/>
        <sz val="10"/>
        <rFont val="Cambria"/>
        <family val="1"/>
        <scheme val="major"/>
      </rPr>
      <t>O</t>
    </r>
    <r>
      <rPr>
        <b/>
        <vertAlign val="subscript"/>
        <sz val="10"/>
        <rFont val="Cambria"/>
        <family val="1"/>
        <scheme val="major"/>
      </rPr>
      <t>Direct</t>
    </r>
    <r>
      <rPr>
        <b/>
        <sz val="10"/>
        <rFont val="Cambria"/>
        <family val="1"/>
        <scheme val="major"/>
      </rPr>
      <t>-N</t>
    </r>
  </si>
  <si>
    <r>
      <t>1</t>
    </r>
    <r>
      <rPr>
        <sz val="10"/>
        <rFont val="Cambria"/>
        <family val="1"/>
        <scheme val="major"/>
      </rPr>
      <t xml:space="preserve"> The area must be disaggregated by  Cropland and Grassland (CG), Forest (F), Temperate (Temp), Tropical (Trop), Nutrient Rich (NR), and Nutrient Poor (NP) categories, respectively, see   Equation 11.1.</t>
    </r>
  </si>
  <si>
    <r>
      <t xml:space="preserve">2 </t>
    </r>
    <r>
      <rPr>
        <sz val="10"/>
        <rFont val="Cambria"/>
        <family val="1"/>
        <scheme val="major"/>
      </rPr>
      <t>The amount must be disaggregated by CPP and SO, which refer to Cattle, Poultry and Pigs, and Sheep and Other animals, respectively. See Equation 11.1.</t>
    </r>
  </si>
  <si>
    <t>Annual amount of synthetic fertilizer N applied to soils</t>
  </si>
  <si>
    <t xml:space="preserve">Fraction of synthetic fertilizer N that volatilises </t>
  </si>
  <si>
    <t xml:space="preserve">Annual amount of animal manure, compost, sewage sludge and other organic N additions intentionally applied to soils </t>
  </si>
  <si>
    <t>Annual amount of urine and dung N deposited by grazing animals on pasture, range and paddock</t>
  </si>
  <si>
    <r>
      <t>Fraction of applied organic N fertilizer materials  (F</t>
    </r>
    <r>
      <rPr>
        <vertAlign val="subscript"/>
        <sz val="9"/>
        <rFont val="Arial"/>
        <family val="2"/>
      </rPr>
      <t>ON</t>
    </r>
    <r>
      <rPr>
        <sz val="9"/>
        <rFont val="Arial"/>
        <family val="2"/>
      </rPr>
      <t>) and of urine and dung N deposited by grazing animals (F</t>
    </r>
    <r>
      <rPr>
        <vertAlign val="subscript"/>
        <sz val="9"/>
        <rFont val="Arial"/>
        <family val="2"/>
      </rPr>
      <t>PRP</t>
    </r>
    <r>
      <rPr>
        <sz val="9"/>
        <rFont val="Arial"/>
        <family val="2"/>
      </rPr>
      <t xml:space="preserve">) that volatilises </t>
    </r>
  </si>
  <si>
    <r>
      <t>Emission factor for N</t>
    </r>
    <r>
      <rPr>
        <vertAlign val="subscript"/>
        <sz val="9"/>
        <rFont val="Arial"/>
        <family val="2"/>
      </rPr>
      <t>2</t>
    </r>
    <r>
      <rPr>
        <sz val="9"/>
        <rFont val="Arial"/>
        <family val="2"/>
      </rPr>
      <t>O emission from atmospheric deposition of N on soils and water surfaces</t>
    </r>
  </si>
  <si>
    <r>
      <t>Annual amount of N</t>
    </r>
    <r>
      <rPr>
        <vertAlign val="subscript"/>
        <sz val="9"/>
        <rFont val="Arial"/>
        <family val="2"/>
      </rPr>
      <t>2</t>
    </r>
    <r>
      <rPr>
        <sz val="9"/>
        <rFont val="Arial"/>
        <family val="2"/>
      </rPr>
      <t>O-N produced from atmospheric deposition of N volatilised from managed soils</t>
    </r>
  </si>
  <si>
    <r>
      <t>(kg NH</t>
    </r>
    <r>
      <rPr>
        <vertAlign val="subscript"/>
        <sz val="9"/>
        <rFont val="Arial"/>
        <family val="2"/>
      </rPr>
      <t>3</t>
    </r>
    <r>
      <rPr>
        <sz val="9"/>
        <rFont val="Arial"/>
        <family val="2"/>
      </rPr>
      <t>-N + NO</t>
    </r>
    <r>
      <rPr>
        <vertAlign val="subscript"/>
        <sz val="9"/>
        <rFont val="Arial"/>
        <family val="2"/>
      </rPr>
      <t>x</t>
    </r>
    <r>
      <rPr>
        <sz val="9"/>
        <rFont val="Arial"/>
        <family val="2"/>
      </rPr>
      <t>-N) (kg of N applied or deposited)</t>
    </r>
    <r>
      <rPr>
        <vertAlign val="superscript"/>
        <sz val="9"/>
        <rFont val="Arial"/>
        <family val="2"/>
      </rPr>
      <t>-1</t>
    </r>
  </si>
  <si>
    <r>
      <t>(kg N</t>
    </r>
    <r>
      <rPr>
        <vertAlign val="subscript"/>
        <sz val="9"/>
        <rFont val="Arial"/>
        <family val="2"/>
      </rPr>
      <t>2</t>
    </r>
    <r>
      <rPr>
        <sz val="9"/>
        <rFont val="Arial"/>
        <family val="2"/>
      </rPr>
      <t>O-N) (kg NH</t>
    </r>
    <r>
      <rPr>
        <vertAlign val="subscript"/>
        <sz val="9"/>
        <rFont val="Arial"/>
        <family val="2"/>
      </rPr>
      <t>3</t>
    </r>
    <r>
      <rPr>
        <sz val="9"/>
        <rFont val="Arial"/>
        <family val="2"/>
      </rPr>
      <t>-N + NO</t>
    </r>
    <r>
      <rPr>
        <vertAlign val="subscript"/>
        <sz val="9"/>
        <rFont val="Arial"/>
        <family val="2"/>
      </rPr>
      <t>x</t>
    </r>
    <r>
      <rPr>
        <sz val="9"/>
        <rFont val="Arial"/>
        <family val="2"/>
      </rPr>
      <t>-N volatilized)</t>
    </r>
    <r>
      <rPr>
        <vertAlign val="superscript"/>
        <sz val="9"/>
        <rFont val="Arial"/>
        <family val="2"/>
      </rPr>
      <t>-1</t>
    </r>
  </si>
  <si>
    <t>Table 11.3</t>
  </si>
  <si>
    <r>
      <t>N</t>
    </r>
    <r>
      <rPr>
        <vertAlign val="subscript"/>
        <sz val="9"/>
        <rFont val="Arial"/>
        <family val="2"/>
      </rPr>
      <t>2</t>
    </r>
    <r>
      <rPr>
        <sz val="9"/>
        <rFont val="Arial"/>
        <family val="2"/>
      </rPr>
      <t>O</t>
    </r>
    <r>
      <rPr>
        <vertAlign val="subscript"/>
        <sz val="9"/>
        <rFont val="Arial"/>
        <family val="2"/>
      </rPr>
      <t>(ATD)</t>
    </r>
    <r>
      <rPr>
        <sz val="9"/>
        <rFont val="Arial"/>
        <family val="2"/>
      </rPr>
      <t>-N  =  [(F</t>
    </r>
    <r>
      <rPr>
        <vertAlign val="subscript"/>
        <sz val="9"/>
        <rFont val="Arial"/>
        <family val="2"/>
      </rPr>
      <t>SN</t>
    </r>
    <r>
      <rPr>
        <sz val="9"/>
        <rFont val="Arial"/>
        <family val="2"/>
      </rPr>
      <t xml:space="preserve">  *  Frac</t>
    </r>
    <r>
      <rPr>
        <vertAlign val="subscript"/>
        <sz val="9"/>
        <rFont val="Arial"/>
        <family val="2"/>
      </rPr>
      <t>GASF</t>
    </r>
    <r>
      <rPr>
        <sz val="9"/>
        <rFont val="Arial"/>
        <family val="2"/>
      </rPr>
      <t xml:space="preserve"> )  +  (F</t>
    </r>
    <r>
      <rPr>
        <vertAlign val="subscript"/>
        <sz val="9"/>
        <rFont val="Arial"/>
        <family val="2"/>
      </rPr>
      <t>ON</t>
    </r>
    <r>
      <rPr>
        <sz val="9"/>
        <rFont val="Arial"/>
        <family val="2"/>
      </rPr>
      <t xml:space="preserve"> + F</t>
    </r>
    <r>
      <rPr>
        <vertAlign val="subscript"/>
        <sz val="9"/>
        <rFont val="Arial"/>
        <family val="2"/>
      </rPr>
      <t>PRP</t>
    </r>
    <r>
      <rPr>
        <sz val="9"/>
        <rFont val="Arial"/>
        <family val="2"/>
      </rPr>
      <t>) * Frac</t>
    </r>
    <r>
      <rPr>
        <vertAlign val="subscript"/>
        <sz val="9"/>
        <rFont val="Arial"/>
        <family val="2"/>
      </rPr>
      <t>GASM</t>
    </r>
    <r>
      <rPr>
        <sz val="9"/>
        <rFont val="Arial"/>
        <family val="2"/>
      </rPr>
      <t>)]  *  EF</t>
    </r>
    <r>
      <rPr>
        <vertAlign val="subscript"/>
        <sz val="9"/>
        <rFont val="Arial"/>
        <family val="2"/>
      </rPr>
      <t xml:space="preserve">4 </t>
    </r>
  </si>
  <si>
    <r>
      <t>F</t>
    </r>
    <r>
      <rPr>
        <b/>
        <vertAlign val="subscript"/>
        <sz val="9"/>
        <rFont val="Arial"/>
        <family val="2"/>
      </rPr>
      <t>SN</t>
    </r>
  </si>
  <si>
    <r>
      <t>Frac</t>
    </r>
    <r>
      <rPr>
        <b/>
        <vertAlign val="subscript"/>
        <sz val="9"/>
        <rFont val="Arial"/>
        <family val="2"/>
      </rPr>
      <t>GASF</t>
    </r>
  </si>
  <si>
    <r>
      <t>F</t>
    </r>
    <r>
      <rPr>
        <b/>
        <vertAlign val="subscript"/>
        <sz val="9"/>
        <rFont val="Arial"/>
        <family val="2"/>
      </rPr>
      <t>ON</t>
    </r>
  </si>
  <si>
    <r>
      <t>F</t>
    </r>
    <r>
      <rPr>
        <b/>
        <vertAlign val="subscript"/>
        <sz val="9"/>
        <rFont val="Arial"/>
        <family val="2"/>
      </rPr>
      <t>PRP</t>
    </r>
  </si>
  <si>
    <r>
      <t>Frac</t>
    </r>
    <r>
      <rPr>
        <b/>
        <vertAlign val="subscript"/>
        <sz val="9"/>
        <rFont val="Arial"/>
        <family val="2"/>
      </rPr>
      <t>GASM</t>
    </r>
  </si>
  <si>
    <r>
      <t>EF</t>
    </r>
    <r>
      <rPr>
        <b/>
        <vertAlign val="subscript"/>
        <sz val="9"/>
        <rFont val="Arial"/>
        <family val="2"/>
      </rPr>
      <t>4</t>
    </r>
  </si>
  <si>
    <r>
      <t>N</t>
    </r>
    <r>
      <rPr>
        <b/>
        <vertAlign val="subscript"/>
        <sz val="9"/>
        <rFont val="Arial"/>
        <family val="2"/>
      </rPr>
      <t>2</t>
    </r>
    <r>
      <rPr>
        <b/>
        <sz val="9"/>
        <rFont val="Arial"/>
        <family val="2"/>
      </rPr>
      <t>O</t>
    </r>
    <r>
      <rPr>
        <b/>
        <vertAlign val="subscript"/>
        <sz val="9"/>
        <rFont val="Arial"/>
        <family val="2"/>
      </rPr>
      <t>(ATD)</t>
    </r>
    <r>
      <rPr>
        <b/>
        <sz val="9"/>
        <rFont val="Arial"/>
        <family val="2"/>
      </rPr>
      <t>-N</t>
    </r>
  </si>
  <si>
    <t>Amount of N in crop residues (above and below-ground), including N-fixing crops, and from forage/pasture renewal, returned to soils annually</t>
  </si>
  <si>
    <t>Annual amount of N mineralized/immobilized in mineral soils associated with loss/gain of soil C from soil organic matter as a result of changes to land use or management</t>
  </si>
  <si>
    <t>Fraction of all N additions to managed soils that is lost through leaching and runoff</t>
  </si>
  <si>
    <r>
      <t>Emission factor for N</t>
    </r>
    <r>
      <rPr>
        <vertAlign val="subscript"/>
        <sz val="9"/>
        <rFont val="Arial"/>
        <family val="2"/>
      </rPr>
      <t>2</t>
    </r>
    <r>
      <rPr>
        <sz val="9"/>
        <rFont val="Arial"/>
        <family val="2"/>
      </rPr>
      <t>O emission from N leaching and runoff</t>
    </r>
  </si>
  <si>
    <r>
      <t>Annual amount of N</t>
    </r>
    <r>
      <rPr>
        <vertAlign val="subscript"/>
        <sz val="9"/>
        <rFont val="Arial"/>
        <family val="2"/>
      </rPr>
      <t>2</t>
    </r>
    <r>
      <rPr>
        <sz val="9"/>
        <rFont val="Arial"/>
        <family val="2"/>
      </rPr>
      <t>O-N produced from  managed soils in regions where leaching and runoff occurs</t>
    </r>
  </si>
  <si>
    <r>
      <t>[kg N (kg of N additions)</t>
    </r>
    <r>
      <rPr>
        <vertAlign val="superscript"/>
        <sz val="9"/>
        <rFont val="Arial"/>
        <family val="2"/>
      </rPr>
      <t>-1</t>
    </r>
    <r>
      <rPr>
        <sz val="9"/>
        <rFont val="Arial"/>
        <family val="2"/>
      </rPr>
      <t>]</t>
    </r>
  </si>
  <si>
    <r>
      <t>[kg N</t>
    </r>
    <r>
      <rPr>
        <vertAlign val="subscript"/>
        <sz val="9"/>
        <rFont val="Arial"/>
        <family val="2"/>
      </rPr>
      <t>2</t>
    </r>
    <r>
      <rPr>
        <sz val="9"/>
        <rFont val="Arial"/>
        <family val="2"/>
      </rPr>
      <t>O-N</t>
    </r>
  </si>
  <si>
    <r>
      <t>(kg N</t>
    </r>
    <r>
      <rPr>
        <vertAlign val="subscript"/>
        <sz val="9"/>
        <rFont val="Arial"/>
        <family val="2"/>
      </rPr>
      <t>2</t>
    </r>
    <r>
      <rPr>
        <sz val="9"/>
        <rFont val="Arial"/>
        <family val="2"/>
      </rPr>
      <t>O-N yr</t>
    </r>
    <r>
      <rPr>
        <vertAlign val="superscript"/>
        <sz val="9"/>
        <rFont val="Arial"/>
        <family val="2"/>
      </rPr>
      <t>-1</t>
    </r>
    <r>
      <rPr>
        <sz val="9"/>
        <rFont val="Arial"/>
        <family val="2"/>
      </rPr>
      <t>)</t>
    </r>
  </si>
  <si>
    <t>(kg N leaching and</t>
  </si>
  <si>
    <r>
      <t xml:space="preserve"> runoff)</t>
    </r>
    <r>
      <rPr>
        <vertAlign val="superscript"/>
        <sz val="9"/>
        <rFont val="Arial"/>
        <family val="2"/>
      </rPr>
      <t>-1</t>
    </r>
    <r>
      <rPr>
        <sz val="9"/>
        <rFont val="Arial"/>
        <family val="2"/>
      </rPr>
      <t>]</t>
    </r>
  </si>
  <si>
    <r>
      <t>N</t>
    </r>
    <r>
      <rPr>
        <vertAlign val="subscript"/>
        <sz val="9"/>
        <rFont val="Arial"/>
        <family val="2"/>
      </rPr>
      <t>2</t>
    </r>
    <r>
      <rPr>
        <sz val="9"/>
        <rFont val="Arial"/>
        <family val="2"/>
      </rPr>
      <t>O</t>
    </r>
    <r>
      <rPr>
        <vertAlign val="subscript"/>
        <sz val="9"/>
        <rFont val="Arial"/>
        <family val="2"/>
      </rPr>
      <t>(L)</t>
    </r>
    <r>
      <rPr>
        <sz val="9"/>
        <rFont val="Arial"/>
        <family val="2"/>
      </rPr>
      <t>-N = (F</t>
    </r>
    <r>
      <rPr>
        <vertAlign val="subscript"/>
        <sz val="9"/>
        <rFont val="Arial"/>
        <family val="2"/>
      </rPr>
      <t>SN</t>
    </r>
    <r>
      <rPr>
        <sz val="9"/>
        <rFont val="Arial"/>
        <family val="2"/>
      </rPr>
      <t xml:space="preserve"> + F</t>
    </r>
    <r>
      <rPr>
        <vertAlign val="subscript"/>
        <sz val="9"/>
        <rFont val="Arial"/>
        <family val="2"/>
      </rPr>
      <t>ON</t>
    </r>
    <r>
      <rPr>
        <sz val="9"/>
        <rFont val="Arial"/>
        <family val="2"/>
      </rPr>
      <t xml:space="preserve"> + F</t>
    </r>
    <r>
      <rPr>
        <vertAlign val="subscript"/>
        <sz val="9"/>
        <rFont val="Arial"/>
        <family val="2"/>
      </rPr>
      <t>PRP</t>
    </r>
    <r>
      <rPr>
        <sz val="9"/>
        <rFont val="Arial"/>
        <family val="2"/>
      </rPr>
      <t xml:space="preserve"> + F</t>
    </r>
    <r>
      <rPr>
        <vertAlign val="subscript"/>
        <sz val="9"/>
        <rFont val="Arial"/>
        <family val="2"/>
      </rPr>
      <t>CR</t>
    </r>
    <r>
      <rPr>
        <sz val="9"/>
        <rFont val="Arial"/>
        <family val="2"/>
      </rPr>
      <t xml:space="preserve"> + F</t>
    </r>
    <r>
      <rPr>
        <vertAlign val="subscript"/>
        <sz val="9"/>
        <rFont val="Arial"/>
        <family val="2"/>
      </rPr>
      <t>SOM</t>
    </r>
    <r>
      <rPr>
        <sz val="9"/>
        <rFont val="Arial"/>
        <family val="2"/>
      </rPr>
      <t>) * Frac</t>
    </r>
    <r>
      <rPr>
        <vertAlign val="subscript"/>
        <sz val="9"/>
        <rFont val="Arial"/>
        <family val="2"/>
      </rPr>
      <t xml:space="preserve">LEACH-(H) </t>
    </r>
    <r>
      <rPr>
        <sz val="9"/>
        <rFont val="Arial"/>
        <family val="2"/>
      </rPr>
      <t>* EF</t>
    </r>
    <r>
      <rPr>
        <vertAlign val="subscript"/>
        <sz val="9"/>
        <rFont val="Arial"/>
        <family val="2"/>
      </rPr>
      <t>5</t>
    </r>
  </si>
  <si>
    <r>
      <t>F</t>
    </r>
    <r>
      <rPr>
        <b/>
        <vertAlign val="subscript"/>
        <sz val="9"/>
        <rFont val="Arial"/>
        <family val="2"/>
      </rPr>
      <t>CR</t>
    </r>
  </si>
  <si>
    <r>
      <t>F</t>
    </r>
    <r>
      <rPr>
        <b/>
        <vertAlign val="subscript"/>
        <sz val="9"/>
        <rFont val="Arial"/>
        <family val="2"/>
      </rPr>
      <t>SOM</t>
    </r>
  </si>
  <si>
    <r>
      <t>Frac</t>
    </r>
    <r>
      <rPr>
        <b/>
        <vertAlign val="subscript"/>
        <sz val="9"/>
        <rFont val="Arial"/>
        <family val="2"/>
      </rPr>
      <t>LEACH-(H)</t>
    </r>
  </si>
  <si>
    <r>
      <t>EF</t>
    </r>
    <r>
      <rPr>
        <b/>
        <vertAlign val="subscript"/>
        <sz val="9"/>
        <rFont val="Arial"/>
        <family val="2"/>
      </rPr>
      <t>5</t>
    </r>
  </si>
  <si>
    <r>
      <t>N</t>
    </r>
    <r>
      <rPr>
        <b/>
        <vertAlign val="subscript"/>
        <sz val="9"/>
        <rFont val="Arial"/>
        <family val="2"/>
      </rPr>
      <t>2</t>
    </r>
    <r>
      <rPr>
        <b/>
        <sz val="9"/>
        <rFont val="Arial"/>
        <family val="2"/>
      </rPr>
      <t>O</t>
    </r>
    <r>
      <rPr>
        <b/>
        <vertAlign val="subscript"/>
        <sz val="9"/>
        <rFont val="Arial"/>
        <family val="2"/>
      </rPr>
      <t>(L)</t>
    </r>
    <r>
      <rPr>
        <b/>
        <sz val="9"/>
        <rFont val="Arial"/>
        <family val="2"/>
      </rPr>
      <t>-N</t>
    </r>
  </si>
  <si>
    <t>Tropical moist decidous forest &lt; 20y</t>
  </si>
  <si>
    <t>Plantation Forest</t>
  </si>
  <si>
    <t>Tier 1</t>
  </si>
  <si>
    <t>Tier 2</t>
  </si>
  <si>
    <t>ไม้ผลไม้ยืนต้น</t>
  </si>
  <si>
    <t>การใช้ปูน</t>
  </si>
  <si>
    <t>การใช้ปุ๋ยยูเรีย</t>
  </si>
  <si>
    <t>ดินที่มีการจัดการ</t>
  </si>
  <si>
    <t>V3.1</t>
  </si>
  <si>
    <t>V3.2</t>
  </si>
  <si>
    <t>V3.3</t>
  </si>
  <si>
    <t>V3.4</t>
  </si>
  <si>
    <t>V3.5</t>
  </si>
  <si>
    <t>นาปี นอกเขตชลประทาน ความลึกน้ำไม่เกิน 50 เซนติเมตร</t>
  </si>
  <si>
    <t>นาปี นอกเขตชลประทาน ความลึกน้ำมากกว่า 50 เซนติเมตร</t>
  </si>
  <si>
    <t xml:space="preserve">นาปรัง ในเขตชลประทาน ขังน้ำและปล่อยน้ำออกมากกว่า 1 ครั้ง </t>
  </si>
  <si>
    <t xml:space="preserve">นาปรัง ในเขตชลประทาน ขังน้ำและปล่อยน้ำออก 1 ครั้ง </t>
  </si>
  <si>
    <t xml:space="preserve">นาปี ในเขตชลประทาน ขังน้ำและปล่อยน้ำออกมากกว่า 1 ครั้ง </t>
  </si>
  <si>
    <t xml:space="preserve">นาปี ในเขตชลประทาน ขังน้ำและปล่อยน้ำออก 1 ครั้ง </t>
  </si>
  <si>
    <t>นาปี ในเขตชลประทาน ขังน้ำตลอดฤดูกาลเพาะปลูก</t>
  </si>
  <si>
    <t>นาปรัง ในเขตชลประทาน ขังน้ำตลอดฤดูกาลเพาะปลูก</t>
  </si>
  <si>
    <t>นาปีในเขตชลประทานขังน้ำตลอดฤดูกาลเพาะปลูก</t>
  </si>
  <si>
    <t>จำนวนพื้นที่เก็บเกี่ยว (ไร่)</t>
  </si>
  <si>
    <t>นาปีนอกชลประทาน นาดอน</t>
  </si>
  <si>
    <t>อายุเก็บเกี่ยวข้าว (วัน)</t>
  </si>
  <si>
    <t>(a) Paddy</t>
  </si>
  <si>
    <t>(b) Upland crop</t>
  </si>
  <si>
    <t>นาปรัง นอกเขตชลประทาน ความลึกน้ำไม่เกิน 50 เซนติเมตร</t>
  </si>
  <si>
    <t>นาปรัง นอกเขตชลประทาน ความลึกน้ำมากกว่า 50 เซนติเมตร</t>
  </si>
  <si>
    <t>นาปี นอกชลประทาน นาแล้ง นาดอน</t>
  </si>
  <si>
    <t>นาปรัง นอกชลประทาน นาแล้ง นาดอน</t>
  </si>
  <si>
    <t>ที่นาในภาคอีอานส่วนใหญ่เป็นที่ดอน</t>
  </si>
  <si>
    <r>
      <t xml:space="preserve">นาทางอีสาน  แบ่งเป็น 2 แบบคือนาลุ่มและนาดอน
</t>
    </r>
    <r>
      <rPr>
        <sz val="10"/>
        <color rgb="FF0070C0"/>
        <rFont val="Cambria"/>
        <family val="1"/>
        <scheme val="major"/>
      </rPr>
      <t xml:space="preserve">นาลุ่ม </t>
    </r>
    <r>
      <rPr>
        <sz val="10"/>
        <color theme="1"/>
        <rFont val="Cambria"/>
        <family val="1"/>
        <scheme val="major"/>
      </rPr>
      <t xml:space="preserve">คือนาตามแนวลำน้ำ  ห้วย หนองน้ำ  หลักๆคือลุ่มน้ำมูล  ชี   และลุ่มน้ำสาขาเช่น ลำน้ำพอง   ลำเสียว  และอื่นๆ  ปลูกข้าวได้ผลดี
</t>
    </r>
    <r>
      <rPr>
        <sz val="10"/>
        <color rgb="FFFF0000"/>
        <rFont val="Cambria"/>
        <family val="1"/>
        <scheme val="major"/>
      </rPr>
      <t>นาดอน</t>
    </r>
    <r>
      <rPr>
        <sz val="10"/>
        <color theme="1"/>
        <rFont val="Cambria"/>
        <family val="1"/>
        <scheme val="major"/>
      </rPr>
      <t xml:space="preserve">  คือนาที่อยู่ในที่ดอนค่อนข้างสูงกว่า</t>
    </r>
  </si>
  <si>
    <r>
      <t>kg CH</t>
    </r>
    <r>
      <rPr>
        <b/>
        <vertAlign val="subscript"/>
        <sz val="10"/>
        <rFont val="Cambria"/>
        <family val="1"/>
        <scheme val="major"/>
      </rPr>
      <t>4</t>
    </r>
  </si>
  <si>
    <t>ตำแหน่ง</t>
  </si>
  <si>
    <t>ขยะมูลฝอยในพื้นที่ (จัดการภายในพื้นที่)</t>
  </si>
  <si>
    <t>ขยะมูลฝอยในพื้นที่ (จัดการภายนอกพื้นที่)</t>
  </si>
  <si>
    <t>E = (A * B * C * D) * 44/12</t>
  </si>
  <si>
    <t>direct smelting (DS)</t>
  </si>
  <si>
    <t>Imperial smelting furnace (ISF)</t>
  </si>
  <si>
    <t>Mass of Individual Type of Cement Produced</t>
  </si>
  <si>
    <t>Emission Factor for the Clinker in the Particular Cement</t>
  </si>
  <si>
    <t>Emission Factor for Lime Production</t>
  </si>
  <si>
    <t>1) Insert additional rows if more than two types of cement are produced.
2) When country-specific information on lime production by type is not available, apply the default emission factor to
    national level lime production data. (See Equation 2.8 in Chapter 2 of this volume.)</t>
  </si>
  <si>
    <t>Mineral Industry - Cement Production</t>
  </si>
  <si>
    <t>Emission Factor for Glass Production</t>
  </si>
  <si>
    <t>Fuel Requirement for Ammonia Production</t>
  </si>
  <si>
    <t>Carbon Content of Fuel</t>
  </si>
  <si>
    <t>Carbon Oxidation Factor of Fuel</t>
  </si>
  <si>
    <t>Amount of Nitric Acid Production</t>
  </si>
  <si>
    <t>Emission Factor</t>
  </si>
  <si>
    <t>Calcium Carbide Used in Acetylene Production</t>
  </si>
  <si>
    <t>Not available</t>
  </si>
  <si>
    <t>Prebake</t>
  </si>
  <si>
    <t>Metal Industry - Zinc Production</t>
  </si>
  <si>
    <t>D = A * B * C * 44/12</t>
  </si>
  <si>
    <t>High-calcium lime</t>
  </si>
  <si>
    <t>Dolomitic lime</t>
  </si>
  <si>
    <t>Hydraulic lime</t>
  </si>
  <si>
    <t>Converntion Steam Reforming. Without primary reformer (Process and Natural Gas Default Feedstock)</t>
  </si>
  <si>
    <t>Feedstock = Natural Gas</t>
  </si>
  <si>
    <t>Converntion Steam Reforming. With primary reformer</t>
  </si>
  <si>
    <t>Converntion Steam Reforming. Lurgl Converntion process</t>
  </si>
  <si>
    <t>Converntion Steam Reforming. Lurgl Low Pressure process</t>
  </si>
  <si>
    <t>Combined Steam Reforming. Lurgl Combined process</t>
  </si>
  <si>
    <t>Converntion Steam Reforming. Lurgl Mega Methanol process</t>
  </si>
  <si>
    <t>Partial oxidation process</t>
  </si>
  <si>
    <t>Feedstock = Oil</t>
  </si>
  <si>
    <t xml:space="preserve">Feedstock = Coal </t>
  </si>
  <si>
    <t>Feedstock = Lignite</t>
  </si>
  <si>
    <t>Converntion Steam Reforming with integrated ammonia production</t>
  </si>
  <si>
    <t>Modern plants – Europe</t>
  </si>
  <si>
    <t xml:space="preserve">Conventional reforming </t>
  </si>
  <si>
    <t>Feedstock = natural gas</t>
  </si>
  <si>
    <t>Excess air reforming</t>
  </si>
  <si>
    <t>Autothermal reforming</t>
  </si>
  <si>
    <t>Partial oxidation</t>
  </si>
  <si>
    <t>Derived from European average values for specific energy consumption
 (Mix of modern and older plants)</t>
  </si>
  <si>
    <t>Average value</t>
  </si>
  <si>
    <t xml:space="preserve">Average value </t>
  </si>
  <si>
    <t>partial oxidation</t>
  </si>
  <si>
    <t>NCV – Net Calorific Value. 
1. Values from Energy, Vol. 2, Chapter.1, Tables 1.3 and 1.4.. Source: 
Adapted from EFMA (2000b; p.21); de Beer, Phylipsen and Bates (2001; p.21); for modern plants default factors can be derived using C content based on natural gas (dry basis) 
and partial oxidation default factors can be derived using C content based on residual fuel oil.</t>
  </si>
  <si>
    <r>
      <t>CO</t>
    </r>
    <r>
      <rPr>
        <vertAlign val="subscript"/>
        <sz val="10"/>
        <rFont val="Cambria"/>
        <family val="1"/>
      </rPr>
      <t>2</t>
    </r>
    <r>
      <rPr>
        <sz val="10"/>
        <rFont val="Cambria"/>
        <family val="1"/>
      </rPr>
      <t xml:space="preserve"> Generated</t>
    </r>
  </si>
  <si>
    <r>
      <t>CO</t>
    </r>
    <r>
      <rPr>
        <vertAlign val="subscript"/>
        <sz val="10"/>
        <rFont val="Cambria"/>
        <family val="1"/>
      </rPr>
      <t>2</t>
    </r>
    <r>
      <rPr>
        <sz val="10"/>
        <rFont val="Cambria"/>
        <family val="1"/>
      </rPr>
      <t xml:space="preserve"> Recovered for Urea Production</t>
    </r>
  </si>
  <si>
    <r>
      <t>CO</t>
    </r>
    <r>
      <rPr>
        <vertAlign val="subscript"/>
        <sz val="10"/>
        <rFont val="Cambria"/>
        <family val="1"/>
      </rPr>
      <t>2</t>
    </r>
    <r>
      <rPr>
        <sz val="10"/>
        <rFont val="Cambria"/>
        <family val="1"/>
      </rPr>
      <t xml:space="preserve"> Emissions</t>
    </r>
  </si>
  <si>
    <r>
      <t>(kg CO</t>
    </r>
    <r>
      <rPr>
        <vertAlign val="subscript"/>
        <sz val="10"/>
        <rFont val="Cambria"/>
        <family val="1"/>
      </rPr>
      <t>2</t>
    </r>
    <r>
      <rPr>
        <sz val="10"/>
        <rFont val="Cambria"/>
        <family val="1"/>
      </rPr>
      <t>)</t>
    </r>
  </si>
  <si>
    <r>
      <t>(Gg CO</t>
    </r>
    <r>
      <rPr>
        <vertAlign val="subscript"/>
        <sz val="10"/>
        <rFont val="Cambria"/>
        <family val="1"/>
      </rPr>
      <t>2</t>
    </r>
    <r>
      <rPr>
        <sz val="10"/>
        <rFont val="Cambria"/>
        <family val="1"/>
      </rPr>
      <t>)</t>
    </r>
  </si>
  <si>
    <r>
      <t>I = H/10</t>
    </r>
    <r>
      <rPr>
        <vertAlign val="superscript"/>
        <sz val="10"/>
        <rFont val="Cambria"/>
        <family val="1"/>
      </rPr>
      <t>6</t>
    </r>
  </si>
  <si>
    <r>
      <t>t CO</t>
    </r>
    <r>
      <rPr>
        <vertAlign val="subscript"/>
        <sz val="10"/>
        <rFont val="Cambria"/>
        <family val="1"/>
      </rPr>
      <t xml:space="preserve">2 </t>
    </r>
  </si>
  <si>
    <t>Production Process</t>
  </si>
  <si>
    <t xml:space="preserve"> (tonne)</t>
  </si>
  <si>
    <t xml:space="preserve">Amount of Ammonia Produced </t>
  </si>
  <si>
    <t>ปริมาณการใช้ไฟฟ้าจากระบบสายส่ง (Grid)</t>
  </si>
  <si>
    <t>kg CH4 /kg BOD</t>
  </si>
  <si>
    <t>kg CH4 /kg COD</t>
  </si>
  <si>
    <t xml:space="preserve">ค่าแฟกเตอร์การปล่อยก๊าซเรือนกระจกของบ่อเกรอะ (Septic tank) </t>
  </si>
  <si>
    <t>Table 6.2 2006 IPCC  IPCC Guidelines for National Greenhouse Gas Inventories Volume 5: Wastewater -Default Maximum CH4 Producing Capacity (BO) For Domestic Wasterwater</t>
  </si>
  <si>
    <r>
      <t>MCF</t>
    </r>
    <r>
      <rPr>
        <vertAlign val="subscript"/>
        <sz val="10"/>
        <color theme="1"/>
        <rFont val="Cambria"/>
        <family val="1"/>
        <scheme val="major"/>
      </rPr>
      <t>j</t>
    </r>
    <r>
      <rPr>
        <sz val="10"/>
        <color theme="1"/>
        <rFont val="Cambria"/>
        <family val="1"/>
        <scheme val="major"/>
      </rPr>
      <t xml:space="preserve"> = methane correction factor (fraction)</t>
    </r>
  </si>
  <si>
    <t>Type of treatment and discharge 
pathway or system</t>
  </si>
  <si>
    <t>Comments</t>
  </si>
  <si>
    <r>
      <t>MCF</t>
    </r>
    <r>
      <rPr>
        <b/>
        <vertAlign val="superscript"/>
        <sz val="10"/>
        <color theme="1"/>
        <rFont val="Cambria"/>
        <family val="1"/>
        <scheme val="major"/>
      </rPr>
      <t>1</t>
    </r>
  </si>
  <si>
    <t xml:space="preserve"> Range</t>
  </si>
  <si>
    <t>Untreated system</t>
  </si>
  <si>
    <t>Sea, river and lakedischarge</t>
  </si>
  <si>
    <t>Rivers with high organics loadings can turn
anaerobic.</t>
  </si>
  <si>
    <t>0-0.2</t>
  </si>
  <si>
    <t>Stagnant sewer</t>
  </si>
  <si>
    <t>Open and warm</t>
  </si>
  <si>
    <t>0.4-0.8</t>
  </si>
  <si>
    <t>Flowing sewer (open or closed)</t>
  </si>
  <si>
    <r>
      <t>Fast moving, clean. (Insignificant amounts
of CH</t>
    </r>
    <r>
      <rPr>
        <vertAlign val="subscript"/>
        <sz val="10"/>
        <color theme="1"/>
        <rFont val="Cambria"/>
        <family val="1"/>
        <scheme val="major"/>
      </rPr>
      <t>4</t>
    </r>
    <r>
      <rPr>
        <sz val="10"/>
        <color theme="1"/>
        <rFont val="Cambria"/>
        <family val="1"/>
        <scheme val="major"/>
      </rPr>
      <t xml:space="preserve"> from pump stations, etc)</t>
    </r>
  </si>
  <si>
    <t>Treated system</t>
  </si>
  <si>
    <t>Centralized, aerobic treatment plant</t>
  </si>
  <si>
    <r>
      <t>Must be well managed. Some CH</t>
    </r>
    <r>
      <rPr>
        <vertAlign val="subscript"/>
        <sz val="10"/>
        <color theme="1"/>
        <rFont val="Cambria"/>
        <family val="1"/>
        <scheme val="major"/>
      </rPr>
      <t>4</t>
    </r>
    <r>
      <rPr>
        <sz val="10"/>
        <color theme="1"/>
        <rFont val="Cambria"/>
        <family val="1"/>
        <scheme val="major"/>
      </rPr>
      <t xml:space="preserve"> can be emitted from settling basins and other
pockets.</t>
    </r>
  </si>
  <si>
    <t>0-0.1</t>
  </si>
  <si>
    <t>Not well managed. Overloaded.</t>
  </si>
  <si>
    <t>0.2-0.4</t>
  </si>
  <si>
    <t>Anaerobic digester for sludge</t>
  </si>
  <si>
    <r>
      <t>CH</t>
    </r>
    <r>
      <rPr>
        <vertAlign val="subscript"/>
        <sz val="10"/>
        <color theme="1"/>
        <rFont val="Cambria"/>
        <family val="1"/>
        <scheme val="major"/>
      </rPr>
      <t>4</t>
    </r>
    <r>
      <rPr>
        <sz val="10"/>
        <color theme="1"/>
        <rFont val="Cambria"/>
        <family val="1"/>
        <scheme val="major"/>
      </rPr>
      <t xml:space="preserve"> recovery is not considered here.</t>
    </r>
  </si>
  <si>
    <t>0.8-1.0</t>
  </si>
  <si>
    <t>Anaerobic reactor</t>
  </si>
  <si>
    <t>Anaerobic shallow lagoon</t>
  </si>
  <si>
    <t>Depth less than 2 metres, use expert
judgment.</t>
  </si>
  <si>
    <t>0-0.3</t>
  </si>
  <si>
    <t>Anaerobic deep lagoon</t>
  </si>
  <si>
    <t>Depth more than 2 metres</t>
  </si>
  <si>
    <t>Septic system</t>
  </si>
  <si>
    <t>Half of BOD settles in anaerobic tank.</t>
  </si>
  <si>
    <t>Latrine</t>
  </si>
  <si>
    <t>Dry climate, ground water table lower than
latrine, small family (3-5 persons)</t>
  </si>
  <si>
    <t>0.05-0.15</t>
  </si>
  <si>
    <t>Dry climate, ground water table lower than
latrine, communal (many users)</t>
  </si>
  <si>
    <t>0.4-0.6</t>
  </si>
  <si>
    <t>Wet climate/flush water use, ground water
table higher than latrine</t>
  </si>
  <si>
    <t>0.7-1.0</t>
  </si>
  <si>
    <t>Regular sediment removal for fertilizer</t>
  </si>
  <si>
    <r>
      <rPr>
        <vertAlign val="superscript"/>
        <sz val="10"/>
        <color theme="1"/>
        <rFont val="Cambria"/>
        <family val="1"/>
        <scheme val="major"/>
      </rPr>
      <t>1</t>
    </r>
    <r>
      <rPr>
        <sz val="10"/>
        <color theme="1"/>
        <rFont val="Cambria"/>
        <family val="1"/>
        <scheme val="major"/>
      </rPr>
      <t xml:space="preserve"> Based on expert judgment by lead authors of this section.</t>
    </r>
  </si>
  <si>
    <t>Table 6.3 2006 IPCC  IPCC Guidelines for National Greenhouse Gas Inventories Volume 5: Wastewater -DEFAULT MCF VALUES FOR DOMESTIC WASTEWATER</t>
  </si>
  <si>
    <r>
      <t>ESTIMATED BOD</t>
    </r>
    <r>
      <rPr>
        <vertAlign val="subscript"/>
        <sz val="10"/>
        <color theme="1"/>
        <rFont val="Cambria"/>
        <family val="1"/>
        <scheme val="major"/>
      </rPr>
      <t>5</t>
    </r>
    <r>
      <rPr>
        <sz val="10"/>
        <color theme="1"/>
        <rFont val="Cambria"/>
        <family val="1"/>
        <scheme val="major"/>
      </rPr>
      <t xml:space="preserve"> VALUES IN DOMESTIC WASTEWATER FOR SELECTED REGIONS AND COUNTRIES</t>
    </r>
  </si>
  <si>
    <t>Country/Region</t>
  </si>
  <si>
    <r>
      <t>BOD</t>
    </r>
    <r>
      <rPr>
        <vertAlign val="subscript"/>
        <sz val="10"/>
        <color theme="1"/>
        <rFont val="Cambria"/>
        <family val="1"/>
        <scheme val="major"/>
      </rPr>
      <t>5</t>
    </r>
    <r>
      <rPr>
        <sz val="10"/>
        <color theme="1"/>
        <rFont val="Cambria"/>
        <family val="1"/>
        <scheme val="major"/>
      </rPr>
      <t xml:space="preserve">
(g/person/day)</t>
    </r>
  </si>
  <si>
    <t>Range</t>
  </si>
  <si>
    <t>Reference</t>
  </si>
  <si>
    <t>Africa</t>
  </si>
  <si>
    <t>35-45</t>
  </si>
  <si>
    <t>Egypt</t>
  </si>
  <si>
    <t>27-41</t>
  </si>
  <si>
    <t>Asia, Middle East, Latin America</t>
  </si>
  <si>
    <t xml:space="preserve">India </t>
  </si>
  <si>
    <t>West Bank and Gaza Strip (Palestine)</t>
  </si>
  <si>
    <t>32-68</t>
  </si>
  <si>
    <t>Japan</t>
  </si>
  <si>
    <t>40-45</t>
  </si>
  <si>
    <t>Brazil</t>
  </si>
  <si>
    <t>45-55</t>
  </si>
  <si>
    <t>Canada, Europe, Russia, Oceania</t>
  </si>
  <si>
    <t>50-70</t>
  </si>
  <si>
    <t>Denmark</t>
  </si>
  <si>
    <t>55-68</t>
  </si>
  <si>
    <t>Germany</t>
  </si>
  <si>
    <t>Greece</t>
  </si>
  <si>
    <t>55-60</t>
  </si>
  <si>
    <t xml:space="preserve">Italy </t>
  </si>
  <si>
    <t>49-60</t>
  </si>
  <si>
    <t>Sweden</t>
  </si>
  <si>
    <t>68-82</t>
  </si>
  <si>
    <t>Turkey</t>
  </si>
  <si>
    <t>27-50</t>
  </si>
  <si>
    <t>United States</t>
  </si>
  <si>
    <t>50-120</t>
  </si>
  <si>
    <t>Note: These values are based on an assessment of the literature. Please use national values, if available.
Reference:
1. Doorn and Liles (1999).
2. Feachem et al. (1983).
3. Masotti (1996).
4. Metcalf and Eddy (2003).</t>
  </si>
  <si>
    <r>
      <t>Table 6.4 2006 IPCC  IPCC Guidelines for National Greenhouse Gas Inventories Volume 5: Wastewater -ESTIMATED BOD</t>
    </r>
    <r>
      <rPr>
        <vertAlign val="subscript"/>
        <sz val="10"/>
        <color theme="1"/>
        <rFont val="Cambria"/>
        <family val="1"/>
        <scheme val="major"/>
      </rPr>
      <t>5</t>
    </r>
    <r>
      <rPr>
        <sz val="10"/>
        <color theme="1"/>
        <rFont val="Cambria"/>
        <family val="1"/>
        <scheme val="major"/>
      </rPr>
      <t xml:space="preserve"> VALUES IN DOMESTIC WASTEWATER FOR SELECTED REGIONS AND COUNTRIES</t>
    </r>
  </si>
  <si>
    <t>Fossil CH4</t>
  </si>
  <si>
    <t>การใช้ปูนขาวเพื่อการปรับสภาพดินในพื้นที่การเกษตร (Liming)</t>
  </si>
  <si>
    <t>การใช้ปุ๋ยยูเรียในพื้นที่การเกษตร (Urea Application)</t>
  </si>
  <si>
    <t>MCF for the landfill site</t>
  </si>
  <si>
    <t>GHG Emission</t>
  </si>
  <si>
    <t>Notation Keys</t>
  </si>
  <si>
    <t>(c) Other crop</t>
  </si>
  <si>
    <t>GL</t>
  </si>
  <si>
    <t>WL</t>
  </si>
  <si>
    <t>type land use</t>
  </si>
  <si>
    <t>meaning</t>
  </si>
  <si>
    <t>Other Land</t>
  </si>
  <si>
    <t>พื้นที่ (ไร่)</t>
  </si>
  <si>
    <t>ปีก่อนหน้า</t>
  </si>
  <si>
    <t>ปีฐาน</t>
  </si>
  <si>
    <t>พื้นที่ (เฮกตาร์)</t>
  </si>
  <si>
    <t>การเปลี่ยนแปลงการใช้ประโยชน์ที่ดิน</t>
  </si>
  <si>
    <t>พื้นที่ถูกบุกรุก</t>
  </si>
  <si>
    <r>
      <t>tCO</t>
    </r>
    <r>
      <rPr>
        <vertAlign val="subscript"/>
        <sz val="10"/>
        <rFont val="Cambria"/>
        <family val="1"/>
        <scheme val="major"/>
      </rPr>
      <t>2</t>
    </r>
    <r>
      <rPr>
        <sz val="10"/>
        <rFont val="Cambria"/>
        <family val="1"/>
        <scheme val="major"/>
      </rPr>
      <t>eq</t>
    </r>
  </si>
  <si>
    <r>
      <t>GHG Emission 
tCO</t>
    </r>
    <r>
      <rPr>
        <b/>
        <vertAlign val="subscript"/>
        <sz val="10"/>
        <rFont val="Cambria"/>
        <family val="1"/>
        <scheme val="major"/>
      </rPr>
      <t>2</t>
    </r>
    <r>
      <rPr>
        <b/>
        <sz val="10"/>
        <rFont val="Cambria"/>
        <family val="1"/>
        <scheme val="major"/>
      </rPr>
      <t>eq</t>
    </r>
  </si>
  <si>
    <r>
      <t>GHG Emission (tCO</t>
    </r>
    <r>
      <rPr>
        <b/>
        <vertAlign val="subscript"/>
        <sz val="10"/>
        <color theme="0"/>
        <rFont val="Cambria"/>
        <family val="1"/>
        <scheme val="major"/>
      </rPr>
      <t>2</t>
    </r>
    <r>
      <rPr>
        <b/>
        <sz val="10"/>
        <color theme="0"/>
        <rFont val="Cambria"/>
        <family val="1"/>
        <scheme val="major"/>
      </rPr>
      <t>eq)</t>
    </r>
  </si>
  <si>
    <r>
      <t>kg N</t>
    </r>
    <r>
      <rPr>
        <b/>
        <vertAlign val="subscript"/>
        <sz val="10"/>
        <rFont val="Cambria"/>
        <family val="1"/>
        <scheme val="major"/>
      </rPr>
      <t>2</t>
    </r>
    <r>
      <rPr>
        <b/>
        <sz val="10"/>
        <rFont val="Cambria"/>
        <family val="1"/>
        <scheme val="major"/>
      </rPr>
      <t>O</t>
    </r>
  </si>
  <si>
    <r>
      <t>GHG Emission
tCO</t>
    </r>
    <r>
      <rPr>
        <b/>
        <vertAlign val="subscript"/>
        <sz val="10"/>
        <color theme="0"/>
        <rFont val="Cambria"/>
        <family val="1"/>
        <scheme val="major"/>
      </rPr>
      <t>2</t>
    </r>
    <r>
      <rPr>
        <b/>
        <sz val="10"/>
        <color theme="0"/>
        <rFont val="Cambria"/>
        <family val="1"/>
        <scheme val="major"/>
      </rPr>
      <t>eq</t>
    </r>
  </si>
  <si>
    <r>
      <t>ปริมาณการเกิดก๊าซมีเทน (kg CH</t>
    </r>
    <r>
      <rPr>
        <b/>
        <vertAlign val="subscript"/>
        <sz val="10"/>
        <color theme="0"/>
        <rFont val="Cambria"/>
        <family val="1"/>
        <scheme val="major"/>
      </rPr>
      <t>4</t>
    </r>
    <r>
      <rPr>
        <b/>
        <sz val="10"/>
        <color theme="0"/>
        <rFont val="Cambria"/>
        <family val="1"/>
        <scheme val="major"/>
      </rPr>
      <t>)</t>
    </r>
  </si>
  <si>
    <t>ไม่ปรากฎกิจกรรมหรือกระบวนการนี้ (Not Occurring)</t>
  </si>
  <si>
    <t>การปล่อยก๊าซเรือนกระจกนี้ถูกประเมินและรายงานปริมาณก๊าซเรือนกระจกรวมกับกลุ่มอื่น (Included Elsewhere)</t>
  </si>
  <si>
    <t>มีการปล่อยก๊าซเรือนกระจกจากกิจกรรมนี้แต่ไม่สามารถประเมินและรายงานปริมาณก๊าซก๊าซเรือนกระจกได้ (Not Estimated)</t>
  </si>
  <si>
    <t>การปล่อยก๊าซเรือนกระจกจากกิจกรรมนี้เป็นความลับไม่สามารถเปิดเผยข้อมูลได้ (Confidential)</t>
  </si>
  <si>
    <t>*กรณีที่ระบุ Notation Keys คือไม่ต้องระบุตัวเลขในช่องสีเหลือง</t>
  </si>
  <si>
    <t>Meaning</t>
  </si>
  <si>
    <r>
      <t>วัสดุทางการเกษตรและแหล่งการปล่อยที่ไม่ใช่ CO</t>
    </r>
    <r>
      <rPr>
        <b/>
        <vertAlign val="subscript"/>
        <sz val="10"/>
        <color theme="0"/>
        <rFont val="Cambria"/>
        <family val="1"/>
        <scheme val="major"/>
      </rPr>
      <t xml:space="preserve">2 </t>
    </r>
    <r>
      <rPr>
        <b/>
        <sz val="10"/>
        <color theme="0"/>
        <rFont val="Cambria"/>
        <family val="1"/>
        <scheme val="major"/>
      </rPr>
      <t>(Aggregate sources and non-CO</t>
    </r>
    <r>
      <rPr>
        <b/>
        <vertAlign val="subscript"/>
        <sz val="10"/>
        <color theme="0"/>
        <rFont val="Cambria"/>
        <family val="1"/>
        <scheme val="major"/>
      </rPr>
      <t>2</t>
    </r>
    <r>
      <rPr>
        <b/>
        <sz val="10"/>
        <color theme="0"/>
        <rFont val="Cambria"/>
        <family val="1"/>
        <scheme val="major"/>
      </rPr>
      <t xml:space="preserve"> emission sources on land)</t>
    </r>
  </si>
  <si>
    <r>
      <t>การปล่อยก๊าซไนตรัสออกไซต์จากดินเกษตร/มูลสัตว์ (N</t>
    </r>
    <r>
      <rPr>
        <b/>
        <vertAlign val="subscript"/>
        <sz val="10"/>
        <color theme="0"/>
        <rFont val="Cambria"/>
        <family val="1"/>
        <scheme val="major"/>
      </rPr>
      <t>2</t>
    </r>
    <r>
      <rPr>
        <b/>
        <sz val="10"/>
        <color theme="0"/>
        <rFont val="Cambria"/>
        <family val="1"/>
        <scheme val="major"/>
      </rPr>
      <t>O Emission form Managed Soils)</t>
    </r>
  </si>
  <si>
    <r>
      <t>Direct N</t>
    </r>
    <r>
      <rPr>
        <vertAlign val="subscript"/>
        <sz val="10"/>
        <color theme="0"/>
        <rFont val="Cambria"/>
        <family val="1"/>
        <scheme val="major"/>
      </rPr>
      <t>2</t>
    </r>
    <r>
      <rPr>
        <sz val="10"/>
        <color theme="0"/>
        <rFont val="Cambria"/>
        <family val="1"/>
        <scheme val="major"/>
      </rPr>
      <t>O Emissions from Managed Soils</t>
    </r>
  </si>
  <si>
    <r>
      <t>Indirect N</t>
    </r>
    <r>
      <rPr>
        <vertAlign val="subscript"/>
        <sz val="10"/>
        <color theme="0"/>
        <rFont val="Cambria"/>
        <family val="1"/>
        <scheme val="major"/>
      </rPr>
      <t>2</t>
    </r>
    <r>
      <rPr>
        <sz val="10"/>
        <color theme="0"/>
        <rFont val="Cambria"/>
        <family val="1"/>
        <scheme val="major"/>
      </rPr>
      <t>O Emissions from Managed Soils</t>
    </r>
  </si>
  <si>
    <r>
      <t>N</t>
    </r>
    <r>
      <rPr>
        <vertAlign val="subscript"/>
        <sz val="10"/>
        <rFont val="Cambria"/>
        <family val="1"/>
        <scheme val="major"/>
      </rPr>
      <t>2</t>
    </r>
    <r>
      <rPr>
        <sz val="10"/>
        <rFont val="Cambria"/>
        <family val="1"/>
        <scheme val="major"/>
      </rPr>
      <t>O from Atmospheric Deposition of N Volatilised from Managed Soils</t>
    </r>
  </si>
  <si>
    <r>
      <t>N</t>
    </r>
    <r>
      <rPr>
        <vertAlign val="subscript"/>
        <sz val="10"/>
        <rFont val="Cambria"/>
        <family val="1"/>
        <scheme val="major"/>
      </rPr>
      <t>2</t>
    </r>
    <r>
      <rPr>
        <sz val="10"/>
        <rFont val="Cambria"/>
        <family val="1"/>
        <scheme val="major"/>
      </rPr>
      <t>O from N leaching/runoff from Managed Soils</t>
    </r>
  </si>
  <si>
    <r>
      <t>(kg NH</t>
    </r>
    <r>
      <rPr>
        <vertAlign val="subscript"/>
        <sz val="9"/>
        <rFont val="Arial"/>
        <family val="2"/>
      </rPr>
      <t>3</t>
    </r>
    <r>
      <rPr>
        <sz val="9"/>
        <rFont val="Arial"/>
        <family val="2"/>
      </rPr>
      <t>-N + NO</t>
    </r>
    <r>
      <rPr>
        <vertAlign val="subscript"/>
        <sz val="9"/>
        <rFont val="Arial"/>
        <family val="2"/>
      </rPr>
      <t>x</t>
    </r>
    <r>
      <rPr>
        <sz val="9"/>
        <rFont val="Arial"/>
        <family val="2"/>
      </rPr>
      <t>-N) 
(kg of N applied)</t>
    </r>
    <r>
      <rPr>
        <vertAlign val="superscript"/>
        <sz val="9"/>
        <rFont val="Arial"/>
        <family val="2"/>
      </rPr>
      <t>-1</t>
    </r>
  </si>
  <si>
    <t>D*GWP*1000</t>
  </si>
  <si>
    <r>
      <t>ปริมาณการปล่อยก๊าซเรือนกระจกทั้งหมด (tCO</t>
    </r>
    <r>
      <rPr>
        <b/>
        <vertAlign val="subscript"/>
        <sz val="10"/>
        <color theme="0"/>
        <rFont val="Cambria"/>
        <family val="1"/>
        <scheme val="major"/>
      </rPr>
      <t>2</t>
    </r>
    <r>
      <rPr>
        <b/>
        <sz val="10"/>
        <color theme="0"/>
        <rFont val="Cambria"/>
        <family val="1"/>
        <scheme val="major"/>
      </rPr>
      <t>eq)</t>
    </r>
  </si>
  <si>
    <r>
      <t>m</t>
    </r>
    <r>
      <rPr>
        <vertAlign val="superscript"/>
        <sz val="10"/>
        <color theme="1"/>
        <rFont val="Cambria"/>
        <family val="1"/>
        <scheme val="major"/>
      </rPr>
      <t>3</t>
    </r>
    <r>
      <rPr>
        <sz val="10"/>
        <color theme="1"/>
        <rFont val="Cambria"/>
        <family val="1"/>
        <scheme val="major"/>
      </rPr>
      <t xml:space="preserve">/day </t>
    </r>
  </si>
  <si>
    <r>
      <t>ปริมาณการปล่อยก๊าซเรือนกระจทั้งหมด (tCO</t>
    </r>
    <r>
      <rPr>
        <b/>
        <vertAlign val="subscript"/>
        <sz val="10"/>
        <color theme="0"/>
        <rFont val="Cambria"/>
        <family val="1"/>
        <scheme val="major"/>
      </rPr>
      <t>2</t>
    </r>
    <r>
      <rPr>
        <b/>
        <sz val="10"/>
        <color theme="0"/>
        <rFont val="Cambria"/>
        <family val="1"/>
        <scheme val="major"/>
      </rPr>
      <t>eq)</t>
    </r>
  </si>
  <si>
    <r>
      <t>scf/m</t>
    </r>
    <r>
      <rPr>
        <vertAlign val="superscript"/>
        <sz val="10"/>
        <color theme="1"/>
        <rFont val="Cambria"/>
        <family val="1"/>
        <scheme val="major"/>
      </rPr>
      <t>3</t>
    </r>
  </si>
  <si>
    <r>
      <t>m</t>
    </r>
    <r>
      <rPr>
        <vertAlign val="superscript"/>
        <sz val="10"/>
        <color theme="1"/>
        <rFont val="Cambria"/>
        <family val="1"/>
        <scheme val="major"/>
      </rPr>
      <t>3</t>
    </r>
  </si>
  <si>
    <r>
      <t>m</t>
    </r>
    <r>
      <rPr>
        <vertAlign val="superscript"/>
        <sz val="10"/>
        <color theme="1"/>
        <rFont val="Cambria"/>
        <family val="1"/>
        <scheme val="major"/>
      </rPr>
      <t>3</t>
    </r>
    <r>
      <rPr>
        <sz val="10"/>
        <color theme="1"/>
        <rFont val="Cambria"/>
        <family val="1"/>
        <scheme val="major"/>
      </rPr>
      <t>/year</t>
    </r>
  </si>
  <si>
    <r>
      <t>Emission Factor (kgCO</t>
    </r>
    <r>
      <rPr>
        <b/>
        <vertAlign val="subscript"/>
        <sz val="10"/>
        <color theme="0"/>
        <rFont val="Cambria"/>
        <family val="1"/>
        <scheme val="major"/>
      </rPr>
      <t>2</t>
    </r>
    <r>
      <rPr>
        <b/>
        <sz val="10"/>
        <color theme="0"/>
        <rFont val="Cambria"/>
        <family val="1"/>
        <scheme val="major"/>
      </rPr>
      <t>-eq/Unit)</t>
    </r>
  </si>
  <si>
    <r>
      <t>GHG Emissions (tCO</t>
    </r>
    <r>
      <rPr>
        <b/>
        <vertAlign val="subscript"/>
        <sz val="10"/>
        <color theme="0"/>
        <rFont val="Cambria"/>
        <family val="1"/>
        <scheme val="major"/>
      </rPr>
      <t>2</t>
    </r>
    <r>
      <rPr>
        <b/>
        <sz val="10"/>
        <color theme="0"/>
        <rFont val="Cambria"/>
        <family val="1"/>
        <scheme val="major"/>
      </rPr>
      <t>-eq/yr)</t>
    </r>
  </si>
  <si>
    <r>
      <t>CH</t>
    </r>
    <r>
      <rPr>
        <b/>
        <vertAlign val="subscript"/>
        <sz val="10"/>
        <color theme="0"/>
        <rFont val="Cambria"/>
        <family val="1"/>
        <scheme val="major"/>
      </rPr>
      <t>4</t>
    </r>
  </si>
  <si>
    <r>
      <t>N</t>
    </r>
    <r>
      <rPr>
        <b/>
        <vertAlign val="subscript"/>
        <sz val="10"/>
        <color theme="0"/>
        <rFont val="Cambria"/>
        <family val="1"/>
        <scheme val="major"/>
      </rPr>
      <t>2</t>
    </r>
    <r>
      <rPr>
        <b/>
        <sz val="10"/>
        <color theme="0"/>
        <rFont val="Cambria"/>
        <family val="1"/>
        <scheme val="major"/>
      </rPr>
      <t>O</t>
    </r>
  </si>
  <si>
    <r>
      <t>Emission (kgCO</t>
    </r>
    <r>
      <rPr>
        <b/>
        <vertAlign val="subscript"/>
        <sz val="10"/>
        <color theme="0"/>
        <rFont val="Cambria"/>
        <family val="1"/>
        <scheme val="major"/>
      </rPr>
      <t>2</t>
    </r>
    <r>
      <rPr>
        <b/>
        <sz val="10"/>
        <color theme="0"/>
        <rFont val="Cambria"/>
        <family val="1"/>
        <scheme val="major"/>
      </rPr>
      <t xml:space="preserve">eq/LTO) </t>
    </r>
  </si>
  <si>
    <r>
      <t>Fraction to CH</t>
    </r>
    <r>
      <rPr>
        <vertAlign val="subscript"/>
        <sz val="10"/>
        <rFont val="Cambria"/>
        <family val="1"/>
        <scheme val="major"/>
      </rPr>
      <t>4</t>
    </r>
  </si>
  <si>
    <r>
      <t>Fraction to CH</t>
    </r>
    <r>
      <rPr>
        <vertAlign val="subscript"/>
        <sz val="10"/>
        <color theme="1"/>
        <rFont val="Cambria"/>
        <family val="1"/>
        <scheme val="major"/>
      </rPr>
      <t>4</t>
    </r>
  </si>
  <si>
    <r>
      <t>CH</t>
    </r>
    <r>
      <rPr>
        <vertAlign val="subscript"/>
        <sz val="10"/>
        <color theme="0"/>
        <rFont val="Cambria"/>
        <family val="1"/>
        <scheme val="major"/>
      </rPr>
      <t>4</t>
    </r>
    <r>
      <rPr>
        <sz val="10"/>
        <color theme="0"/>
        <rFont val="Cambria"/>
        <family val="1"/>
        <scheme val="major"/>
      </rPr>
      <t xml:space="preserve"> generated </t>
    </r>
  </si>
  <si>
    <r>
      <t>CH</t>
    </r>
    <r>
      <rPr>
        <vertAlign val="subscript"/>
        <sz val="10"/>
        <color theme="0"/>
        <rFont val="Cambria"/>
        <family val="1"/>
        <scheme val="major"/>
      </rPr>
      <t>4</t>
    </r>
    <r>
      <rPr>
        <sz val="10"/>
        <color theme="0"/>
        <rFont val="Cambria"/>
        <family val="1"/>
        <scheme val="major"/>
      </rPr>
      <t xml:space="preserve"> Emission</t>
    </r>
  </si>
  <si>
    <r>
      <t>CO</t>
    </r>
    <r>
      <rPr>
        <vertAlign val="subscript"/>
        <sz val="10"/>
        <color theme="0"/>
        <rFont val="Cambria"/>
        <family val="1"/>
        <scheme val="major"/>
      </rPr>
      <t>2</t>
    </r>
    <r>
      <rPr>
        <sz val="10"/>
        <color theme="0"/>
        <rFont val="Cambria"/>
        <family val="1"/>
        <scheme val="major"/>
      </rPr>
      <t xml:space="preserve"> equiv.</t>
    </r>
  </si>
  <si>
    <r>
      <t>kg CH</t>
    </r>
    <r>
      <rPr>
        <b/>
        <vertAlign val="subscript"/>
        <sz val="10"/>
        <color rgb="FF000000"/>
        <rFont val="Cambria"/>
        <family val="1"/>
        <scheme val="major"/>
      </rPr>
      <t>4</t>
    </r>
  </si>
  <si>
    <r>
      <t>kg N</t>
    </r>
    <r>
      <rPr>
        <b/>
        <vertAlign val="subscript"/>
        <sz val="10"/>
        <color rgb="FF000000"/>
        <rFont val="Cambria"/>
        <family val="1"/>
        <scheme val="major"/>
      </rPr>
      <t>2</t>
    </r>
    <r>
      <rPr>
        <b/>
        <sz val="10"/>
        <color rgb="FF000000"/>
        <rFont val="Cambria"/>
        <family val="1"/>
        <scheme val="major"/>
      </rPr>
      <t>O</t>
    </r>
  </si>
  <si>
    <r>
      <t>kgCH</t>
    </r>
    <r>
      <rPr>
        <vertAlign val="subscript"/>
        <sz val="10"/>
        <color rgb="FF000000"/>
        <rFont val="Cambria"/>
        <family val="1"/>
        <scheme val="major"/>
      </rPr>
      <t>4</t>
    </r>
    <r>
      <rPr>
        <sz val="10"/>
        <color rgb="FF000000"/>
        <rFont val="Cambria"/>
        <family val="1"/>
        <scheme val="major"/>
      </rPr>
      <t>/year</t>
    </r>
  </si>
  <si>
    <r>
      <t>Ton CH</t>
    </r>
    <r>
      <rPr>
        <vertAlign val="subscript"/>
        <sz val="10"/>
        <color rgb="FF000000"/>
        <rFont val="Cambria"/>
        <family val="1"/>
        <scheme val="major"/>
      </rPr>
      <t>4</t>
    </r>
    <r>
      <rPr>
        <sz val="10"/>
        <color rgb="FF000000"/>
        <rFont val="Cambria"/>
        <family val="1"/>
        <scheme val="major"/>
      </rPr>
      <t>/year</t>
    </r>
  </si>
  <si>
    <r>
      <t>Ton CO</t>
    </r>
    <r>
      <rPr>
        <b/>
        <vertAlign val="subscript"/>
        <sz val="10"/>
        <color rgb="FF000000"/>
        <rFont val="Cambria"/>
        <family val="1"/>
        <scheme val="major"/>
      </rPr>
      <t>2</t>
    </r>
    <r>
      <rPr>
        <b/>
        <sz val="10"/>
        <color rgb="FF000000"/>
        <rFont val="Cambria"/>
        <family val="1"/>
        <scheme val="major"/>
      </rPr>
      <t>/year</t>
    </r>
  </si>
  <si>
    <r>
      <t>kgN</t>
    </r>
    <r>
      <rPr>
        <vertAlign val="subscript"/>
        <sz val="10"/>
        <color rgb="FF000000"/>
        <rFont val="Cambria"/>
        <family val="1"/>
        <scheme val="major"/>
      </rPr>
      <t>2</t>
    </r>
    <r>
      <rPr>
        <sz val="10"/>
        <color rgb="FF000000"/>
        <rFont val="Cambria"/>
        <family val="1"/>
        <scheme val="major"/>
      </rPr>
      <t>O/year</t>
    </r>
  </si>
  <si>
    <r>
      <t>Ton N</t>
    </r>
    <r>
      <rPr>
        <vertAlign val="subscript"/>
        <sz val="10"/>
        <color rgb="FF000000"/>
        <rFont val="Cambria"/>
        <family val="1"/>
        <scheme val="major"/>
      </rPr>
      <t>2</t>
    </r>
    <r>
      <rPr>
        <sz val="10"/>
        <color rgb="FF000000"/>
        <rFont val="Cambria"/>
        <family val="1"/>
        <scheme val="major"/>
      </rPr>
      <t>O/year</t>
    </r>
  </si>
  <si>
    <r>
      <t>Ton CO</t>
    </r>
    <r>
      <rPr>
        <vertAlign val="subscript"/>
        <sz val="10"/>
        <color rgb="FF000000"/>
        <rFont val="Cambria"/>
        <family val="1"/>
        <scheme val="major"/>
      </rPr>
      <t>2</t>
    </r>
    <r>
      <rPr>
        <sz val="10"/>
        <color rgb="FF000000"/>
        <rFont val="Cambria"/>
        <family val="1"/>
        <scheme val="major"/>
      </rPr>
      <t>/year</t>
    </r>
  </si>
  <si>
    <r>
      <t>Ton CO</t>
    </r>
    <r>
      <rPr>
        <b/>
        <vertAlign val="subscript"/>
        <sz val="10"/>
        <rFont val="Cambria"/>
        <family val="1"/>
        <scheme val="major"/>
      </rPr>
      <t>2</t>
    </r>
    <r>
      <rPr>
        <b/>
        <sz val="10"/>
        <rFont val="Cambria"/>
        <family val="2"/>
        <scheme val="major"/>
      </rPr>
      <t xml:space="preserve"> eq</t>
    </r>
  </si>
  <si>
    <r>
      <t>GWP of CH</t>
    </r>
    <r>
      <rPr>
        <vertAlign val="subscript"/>
        <sz val="10"/>
        <color rgb="FF000000"/>
        <rFont val="Cambria"/>
        <family val="1"/>
        <scheme val="major"/>
      </rPr>
      <t>4</t>
    </r>
  </si>
  <si>
    <r>
      <t>GWP of N</t>
    </r>
    <r>
      <rPr>
        <vertAlign val="subscript"/>
        <sz val="10"/>
        <color rgb="FF000000"/>
        <rFont val="Cambria"/>
        <family val="1"/>
        <scheme val="major"/>
      </rPr>
      <t>2</t>
    </r>
    <r>
      <rPr>
        <sz val="10"/>
        <color rgb="FF000000"/>
        <rFont val="Cambria"/>
        <family val="1"/>
        <scheme val="major"/>
      </rPr>
      <t>O</t>
    </r>
  </si>
  <si>
    <r>
      <t>CH</t>
    </r>
    <r>
      <rPr>
        <b/>
        <vertAlign val="subscript"/>
        <sz val="10"/>
        <color rgb="FF000000"/>
        <rFont val="Cambria"/>
        <family val="1"/>
        <scheme val="major"/>
      </rPr>
      <t>4</t>
    </r>
    <r>
      <rPr>
        <b/>
        <sz val="10"/>
        <color rgb="FF000000"/>
        <rFont val="Cambria"/>
        <family val="1"/>
        <scheme val="major"/>
      </rPr>
      <t xml:space="preserve"> Emission</t>
    </r>
  </si>
  <si>
    <r>
      <t>N</t>
    </r>
    <r>
      <rPr>
        <b/>
        <vertAlign val="subscript"/>
        <sz val="10"/>
        <color rgb="FF000000"/>
        <rFont val="Cambria"/>
        <family val="1"/>
        <scheme val="major"/>
      </rPr>
      <t>2</t>
    </r>
    <r>
      <rPr>
        <b/>
        <sz val="10"/>
        <color rgb="FF000000"/>
        <rFont val="Cambria"/>
        <family val="1"/>
        <scheme val="major"/>
      </rPr>
      <t xml:space="preserve">O Emission </t>
    </r>
  </si>
  <si>
    <r>
      <t>GWP of CH</t>
    </r>
    <r>
      <rPr>
        <vertAlign val="subscript"/>
        <sz val="10"/>
        <color theme="1"/>
        <rFont val="Cambria"/>
        <family val="1"/>
        <scheme val="major"/>
      </rPr>
      <t>4</t>
    </r>
  </si>
  <si>
    <r>
      <t>GWP of N</t>
    </r>
    <r>
      <rPr>
        <vertAlign val="subscript"/>
        <sz val="10"/>
        <color theme="1"/>
        <rFont val="Cambria"/>
        <family val="1"/>
        <scheme val="major"/>
      </rPr>
      <t>2</t>
    </r>
    <r>
      <rPr>
        <sz val="10"/>
        <color theme="1"/>
        <rFont val="Cambria"/>
        <family val="1"/>
        <scheme val="major"/>
      </rPr>
      <t>O</t>
    </r>
  </si>
  <si>
    <r>
      <t>N</t>
    </r>
    <r>
      <rPr>
        <b/>
        <vertAlign val="subscript"/>
        <sz val="10"/>
        <color theme="1"/>
        <rFont val="Cambria"/>
        <family val="1"/>
        <scheme val="major"/>
      </rPr>
      <t>2</t>
    </r>
    <r>
      <rPr>
        <b/>
        <sz val="10"/>
        <color theme="1"/>
        <rFont val="Cambria"/>
        <family val="1"/>
        <scheme val="major"/>
      </rPr>
      <t xml:space="preserve">O Emission </t>
    </r>
  </si>
  <si>
    <r>
      <t>ton CO</t>
    </r>
    <r>
      <rPr>
        <vertAlign val="subscript"/>
        <sz val="10"/>
        <color theme="1"/>
        <rFont val="Cambria"/>
        <family val="1"/>
        <scheme val="major"/>
      </rPr>
      <t>2</t>
    </r>
  </si>
  <si>
    <r>
      <t>kgCH</t>
    </r>
    <r>
      <rPr>
        <vertAlign val="subscript"/>
        <sz val="10"/>
        <color theme="1"/>
        <rFont val="Cambria"/>
        <family val="1"/>
        <scheme val="major"/>
      </rPr>
      <t>4</t>
    </r>
    <r>
      <rPr>
        <sz val="10"/>
        <color theme="1"/>
        <rFont val="Cambria"/>
        <family val="1"/>
        <scheme val="major"/>
      </rPr>
      <t>/Gg waste</t>
    </r>
  </si>
  <si>
    <r>
      <t>Ton CH</t>
    </r>
    <r>
      <rPr>
        <vertAlign val="subscript"/>
        <sz val="10"/>
        <color theme="1"/>
        <rFont val="Cambria"/>
        <family val="1"/>
        <scheme val="major"/>
      </rPr>
      <t>4</t>
    </r>
    <r>
      <rPr>
        <sz val="10"/>
        <color theme="1"/>
        <rFont val="Cambria"/>
        <family val="1"/>
        <scheme val="major"/>
      </rPr>
      <t>/year</t>
    </r>
  </si>
  <si>
    <r>
      <t>Ton CO</t>
    </r>
    <r>
      <rPr>
        <b/>
        <vertAlign val="subscript"/>
        <sz val="10"/>
        <color theme="1"/>
        <rFont val="Cambria"/>
        <family val="1"/>
        <scheme val="major"/>
      </rPr>
      <t>2</t>
    </r>
    <r>
      <rPr>
        <b/>
        <sz val="10"/>
        <color theme="1"/>
        <rFont val="Cambria"/>
        <family val="1"/>
        <scheme val="major"/>
      </rPr>
      <t>/year</t>
    </r>
  </si>
  <si>
    <r>
      <t>g N</t>
    </r>
    <r>
      <rPr>
        <vertAlign val="subscript"/>
        <sz val="10"/>
        <color theme="1"/>
        <rFont val="Cambria"/>
        <family val="1"/>
        <scheme val="major"/>
      </rPr>
      <t>2</t>
    </r>
    <r>
      <rPr>
        <sz val="10"/>
        <color theme="1"/>
        <rFont val="Cambria"/>
        <family val="1"/>
        <scheme val="major"/>
      </rPr>
      <t>O/t waste</t>
    </r>
  </si>
  <si>
    <r>
      <t>Ton N</t>
    </r>
    <r>
      <rPr>
        <vertAlign val="subscript"/>
        <sz val="10"/>
        <color theme="1"/>
        <rFont val="Cambria"/>
        <family val="1"/>
        <scheme val="major"/>
      </rPr>
      <t>2</t>
    </r>
    <r>
      <rPr>
        <sz val="10"/>
        <color theme="1"/>
        <rFont val="Cambria"/>
        <family val="1"/>
        <scheme val="major"/>
      </rPr>
      <t>O/year</t>
    </r>
  </si>
  <si>
    <r>
      <t>Ton CO</t>
    </r>
    <r>
      <rPr>
        <vertAlign val="subscript"/>
        <sz val="10"/>
        <color theme="1"/>
        <rFont val="Cambria"/>
        <family val="1"/>
        <scheme val="major"/>
      </rPr>
      <t>2</t>
    </r>
    <r>
      <rPr>
        <sz val="10"/>
        <color theme="1"/>
        <rFont val="Cambria"/>
        <family val="1"/>
        <scheme val="major"/>
      </rPr>
      <t>/year</t>
    </r>
  </si>
  <si>
    <r>
      <t>Ton CO</t>
    </r>
    <r>
      <rPr>
        <vertAlign val="subscript"/>
        <sz val="10"/>
        <color theme="1"/>
        <rFont val="Cambria"/>
        <family val="1"/>
        <scheme val="major"/>
      </rPr>
      <t>2</t>
    </r>
    <r>
      <rPr>
        <sz val="10"/>
        <color theme="1"/>
        <rFont val="Cambria"/>
        <family val="1"/>
        <scheme val="major"/>
      </rPr>
      <t xml:space="preserve"> eq</t>
    </r>
  </si>
  <si>
    <r>
      <t>CH</t>
    </r>
    <r>
      <rPr>
        <b/>
        <vertAlign val="subscript"/>
        <sz val="10"/>
        <color theme="1"/>
        <rFont val="Cambria"/>
        <family val="1"/>
        <scheme val="major"/>
      </rPr>
      <t>4</t>
    </r>
    <r>
      <rPr>
        <b/>
        <sz val="10"/>
        <color theme="1"/>
        <rFont val="Cambria"/>
        <family val="1"/>
        <scheme val="major"/>
      </rPr>
      <t xml:space="preserve"> Emission</t>
    </r>
  </si>
  <si>
    <r>
      <t>Excess sludge (m</t>
    </r>
    <r>
      <rPr>
        <vertAlign val="superscript"/>
        <sz val="10"/>
        <color theme="1"/>
        <rFont val="Cambria"/>
        <family val="1"/>
        <scheme val="major"/>
      </rPr>
      <t>3</t>
    </r>
    <r>
      <rPr>
        <sz val="10"/>
        <color theme="1"/>
        <rFont val="Cambria"/>
        <family val="1"/>
        <scheme val="major"/>
      </rPr>
      <t>)</t>
    </r>
  </si>
  <si>
    <r>
      <t>CO</t>
    </r>
    <r>
      <rPr>
        <vertAlign val="subscript"/>
        <sz val="10"/>
        <color theme="1"/>
        <rFont val="Cambria"/>
        <family val="1"/>
        <scheme val="major"/>
      </rPr>
      <t>2</t>
    </r>
    <r>
      <rPr>
        <sz val="10"/>
        <color theme="1"/>
        <rFont val="Cambria"/>
        <family val="1"/>
        <scheme val="major"/>
      </rPr>
      <t xml:space="preserve"> Emission </t>
    </r>
  </si>
  <si>
    <r>
      <t>kg CO</t>
    </r>
    <r>
      <rPr>
        <vertAlign val="subscript"/>
        <sz val="10"/>
        <color theme="1"/>
        <rFont val="Cambria"/>
        <family val="1"/>
        <scheme val="major"/>
      </rPr>
      <t>2</t>
    </r>
    <r>
      <rPr>
        <sz val="10"/>
        <color theme="1"/>
        <rFont val="Cambria"/>
        <family val="1"/>
        <scheme val="major"/>
      </rPr>
      <t xml:space="preserve"> eq/kg COD</t>
    </r>
  </si>
  <si>
    <r>
      <t>m</t>
    </r>
    <r>
      <rPr>
        <vertAlign val="superscript"/>
        <sz val="10"/>
        <color theme="1"/>
        <rFont val="Cambria"/>
        <family val="1"/>
        <scheme val="major"/>
      </rPr>
      <t>3</t>
    </r>
    <r>
      <rPr>
        <sz val="10"/>
        <color theme="1"/>
        <rFont val="Cambria"/>
        <family val="1"/>
        <scheme val="major"/>
      </rPr>
      <t>/yr</t>
    </r>
  </si>
  <si>
    <r>
      <t>m</t>
    </r>
    <r>
      <rPr>
        <vertAlign val="superscript"/>
        <sz val="10"/>
        <color theme="1"/>
        <rFont val="Cambria"/>
        <family val="1"/>
        <scheme val="major"/>
      </rPr>
      <t>3</t>
    </r>
    <r>
      <rPr>
        <sz val="10"/>
        <color theme="1"/>
        <rFont val="Cambria"/>
        <family val="1"/>
        <scheme val="major"/>
      </rPr>
      <t>/d</t>
    </r>
  </si>
  <si>
    <r>
      <t>kgCH</t>
    </r>
    <r>
      <rPr>
        <vertAlign val="subscript"/>
        <sz val="10"/>
        <rFont val="Cambria"/>
        <family val="1"/>
        <scheme val="major"/>
      </rPr>
      <t>4</t>
    </r>
    <r>
      <rPr>
        <sz val="10"/>
        <rFont val="Cambria"/>
        <family val="1"/>
        <scheme val="major"/>
      </rPr>
      <t>/kgBOD</t>
    </r>
  </si>
  <si>
    <r>
      <t>kgCH</t>
    </r>
    <r>
      <rPr>
        <b/>
        <vertAlign val="subscript"/>
        <sz val="10"/>
        <rFont val="Cambria"/>
        <family val="1"/>
        <scheme val="major"/>
      </rPr>
      <t>4</t>
    </r>
    <r>
      <rPr>
        <b/>
        <sz val="10"/>
        <rFont val="Cambria"/>
        <family val="1"/>
        <scheme val="major"/>
      </rPr>
      <t>/kgBOD</t>
    </r>
  </si>
  <si>
    <r>
      <t>kgCH</t>
    </r>
    <r>
      <rPr>
        <vertAlign val="subscript"/>
        <sz val="10"/>
        <rFont val="Cambria"/>
        <family val="1"/>
        <scheme val="major"/>
      </rPr>
      <t>4</t>
    </r>
    <r>
      <rPr>
        <sz val="10"/>
        <rFont val="Cambria"/>
        <family val="1"/>
        <scheme val="major"/>
      </rPr>
      <t xml:space="preserve">/year </t>
    </r>
  </si>
  <si>
    <r>
      <t>kgCO</t>
    </r>
    <r>
      <rPr>
        <vertAlign val="subscript"/>
        <sz val="10"/>
        <rFont val="Cambria"/>
        <family val="1"/>
        <scheme val="major"/>
      </rPr>
      <t>2</t>
    </r>
    <r>
      <rPr>
        <sz val="10"/>
        <rFont val="Cambria"/>
        <family val="1"/>
        <scheme val="major"/>
      </rPr>
      <t>/year</t>
    </r>
  </si>
  <si>
    <r>
      <t>Ton CO</t>
    </r>
    <r>
      <rPr>
        <b/>
        <vertAlign val="subscript"/>
        <sz val="10"/>
        <rFont val="Cambria"/>
        <family val="1"/>
        <scheme val="major"/>
      </rPr>
      <t>2</t>
    </r>
    <r>
      <rPr>
        <b/>
        <sz val="10"/>
        <rFont val="Cambria"/>
        <family val="1"/>
        <scheme val="major"/>
      </rPr>
      <t>/year</t>
    </r>
  </si>
  <si>
    <r>
      <t>CH</t>
    </r>
    <r>
      <rPr>
        <b/>
        <vertAlign val="subscript"/>
        <sz val="10"/>
        <rFont val="Cambria"/>
        <family val="1"/>
        <scheme val="major"/>
      </rPr>
      <t>4</t>
    </r>
    <r>
      <rPr>
        <b/>
        <sz val="10"/>
        <rFont val="Cambria"/>
        <family val="1"/>
        <scheme val="major"/>
      </rPr>
      <t xml:space="preserve"> Emission =</t>
    </r>
  </si>
  <si>
    <r>
      <t>CH</t>
    </r>
    <r>
      <rPr>
        <vertAlign val="subscript"/>
        <sz val="10"/>
        <rFont val="Cambria"/>
        <family val="1"/>
        <scheme val="major"/>
      </rPr>
      <t>4</t>
    </r>
    <r>
      <rPr>
        <sz val="10"/>
        <rFont val="Cambria"/>
        <family val="1"/>
        <scheme val="major"/>
      </rPr>
      <t xml:space="preserve"> GWP</t>
    </r>
  </si>
  <si>
    <r>
      <t>CO</t>
    </r>
    <r>
      <rPr>
        <vertAlign val="subscript"/>
        <sz val="10"/>
        <rFont val="Cambria"/>
        <family val="1"/>
        <scheme val="major"/>
      </rPr>
      <t>2</t>
    </r>
    <r>
      <rPr>
        <sz val="10"/>
        <rFont val="Cambria"/>
        <family val="1"/>
        <scheme val="major"/>
      </rPr>
      <t xml:space="preserve"> Emission </t>
    </r>
  </si>
  <si>
    <r>
      <t>mg/m</t>
    </r>
    <r>
      <rPr>
        <vertAlign val="superscript"/>
        <sz val="10"/>
        <color theme="1"/>
        <rFont val="Cambria"/>
        <family val="1"/>
        <scheme val="major"/>
      </rPr>
      <t>3</t>
    </r>
  </si>
  <si>
    <r>
      <t>kgCH</t>
    </r>
    <r>
      <rPr>
        <vertAlign val="subscript"/>
        <sz val="10"/>
        <color theme="1"/>
        <rFont val="Cambria"/>
        <family val="1"/>
        <scheme val="major"/>
      </rPr>
      <t>4</t>
    </r>
    <r>
      <rPr>
        <sz val="10"/>
        <color theme="1"/>
        <rFont val="Cambria"/>
        <family val="1"/>
        <scheme val="major"/>
      </rPr>
      <t>/kgBOD</t>
    </r>
  </si>
  <si>
    <r>
      <t>kgCH</t>
    </r>
    <r>
      <rPr>
        <b/>
        <vertAlign val="subscript"/>
        <sz val="10"/>
        <color theme="1"/>
        <rFont val="Cambria"/>
        <family val="1"/>
        <scheme val="major"/>
      </rPr>
      <t>4</t>
    </r>
    <r>
      <rPr>
        <b/>
        <sz val="10"/>
        <color theme="1"/>
        <rFont val="Cambria"/>
        <family val="1"/>
        <scheme val="major"/>
      </rPr>
      <t>/kgBOD</t>
    </r>
  </si>
  <si>
    <r>
      <t>kgCH</t>
    </r>
    <r>
      <rPr>
        <vertAlign val="subscript"/>
        <sz val="10"/>
        <color theme="1"/>
        <rFont val="Cambria"/>
        <family val="1"/>
        <scheme val="major"/>
      </rPr>
      <t>4</t>
    </r>
    <r>
      <rPr>
        <sz val="10"/>
        <color theme="1"/>
        <rFont val="Cambria"/>
        <family val="1"/>
        <scheme val="major"/>
      </rPr>
      <t xml:space="preserve">/year </t>
    </r>
  </si>
  <si>
    <r>
      <t>kgCO</t>
    </r>
    <r>
      <rPr>
        <vertAlign val="subscript"/>
        <sz val="10"/>
        <color theme="1"/>
        <rFont val="Cambria"/>
        <family val="1"/>
        <scheme val="major"/>
      </rPr>
      <t>2</t>
    </r>
    <r>
      <rPr>
        <sz val="10"/>
        <color theme="1"/>
        <rFont val="Cambria"/>
        <family val="1"/>
        <scheme val="major"/>
      </rPr>
      <t>/year</t>
    </r>
  </si>
  <si>
    <r>
      <t>g CH</t>
    </r>
    <r>
      <rPr>
        <vertAlign val="subscript"/>
        <sz val="10"/>
        <color theme="1"/>
        <rFont val="Cambria"/>
        <family val="1"/>
        <scheme val="major"/>
      </rPr>
      <t>4</t>
    </r>
    <r>
      <rPr>
        <sz val="10"/>
        <color theme="1"/>
        <rFont val="Cambria"/>
        <family val="1"/>
        <scheme val="major"/>
      </rPr>
      <t>/kg Sludge</t>
    </r>
  </si>
  <si>
    <r>
      <t>CH</t>
    </r>
    <r>
      <rPr>
        <vertAlign val="subscript"/>
        <sz val="10"/>
        <color theme="1"/>
        <rFont val="Cambria"/>
        <family val="1"/>
        <scheme val="major"/>
      </rPr>
      <t>4</t>
    </r>
    <r>
      <rPr>
        <sz val="10"/>
        <color theme="1"/>
        <rFont val="Cambria"/>
        <family val="1"/>
        <scheme val="major"/>
      </rPr>
      <t xml:space="preserve"> Emission </t>
    </r>
  </si>
  <si>
    <r>
      <t>CO</t>
    </r>
    <r>
      <rPr>
        <b/>
        <vertAlign val="subscript"/>
        <sz val="10"/>
        <color theme="1"/>
        <rFont val="Cambria"/>
        <family val="1"/>
        <scheme val="major"/>
      </rPr>
      <t>2</t>
    </r>
    <r>
      <rPr>
        <b/>
        <sz val="10"/>
        <color theme="1"/>
        <rFont val="Cambria"/>
        <family val="1"/>
        <scheme val="major"/>
      </rPr>
      <t xml:space="preserve"> Emission </t>
    </r>
  </si>
  <si>
    <r>
      <t>SF</t>
    </r>
    <r>
      <rPr>
        <b/>
        <vertAlign val="subscript"/>
        <sz val="10"/>
        <rFont val="Cambria"/>
        <family val="1"/>
        <scheme val="major"/>
      </rPr>
      <t>6</t>
    </r>
  </si>
  <si>
    <r>
      <t>C</t>
    </r>
    <r>
      <rPr>
        <b/>
        <vertAlign val="subscript"/>
        <sz val="10"/>
        <rFont val="Cambria"/>
        <family val="1"/>
        <scheme val="major"/>
      </rPr>
      <t>2</t>
    </r>
    <r>
      <rPr>
        <b/>
        <sz val="10"/>
        <rFont val="Cambria"/>
        <family val="1"/>
        <scheme val="major"/>
      </rPr>
      <t>F</t>
    </r>
    <r>
      <rPr>
        <b/>
        <vertAlign val="subscript"/>
        <sz val="10"/>
        <rFont val="Cambria"/>
        <family val="1"/>
        <scheme val="major"/>
      </rPr>
      <t>6</t>
    </r>
  </si>
  <si>
    <r>
      <t>CF</t>
    </r>
    <r>
      <rPr>
        <b/>
        <vertAlign val="subscript"/>
        <sz val="10"/>
        <color theme="1"/>
        <rFont val="Cambria"/>
        <family val="1"/>
      </rPr>
      <t>4</t>
    </r>
  </si>
  <si>
    <r>
      <t>CO</t>
    </r>
    <r>
      <rPr>
        <b/>
        <vertAlign val="subscript"/>
        <sz val="10"/>
        <rFont val="Cambria"/>
        <family val="1"/>
        <scheme val="major"/>
      </rPr>
      <t>2</t>
    </r>
    <r>
      <rPr>
        <b/>
        <sz val="10"/>
        <rFont val="Cambria"/>
        <family val="1"/>
        <scheme val="major"/>
      </rPr>
      <t xml:space="preserve"> = CO</t>
    </r>
    <r>
      <rPr>
        <b/>
        <vertAlign val="subscript"/>
        <sz val="10"/>
        <rFont val="Cambria"/>
        <family val="1"/>
        <scheme val="major"/>
      </rPr>
      <t>2</t>
    </r>
    <r>
      <rPr>
        <b/>
        <sz val="10"/>
        <rFont val="Cambria"/>
        <family val="1"/>
        <scheme val="major"/>
      </rPr>
      <t>-C Emission*44/12</t>
    </r>
  </si>
  <si>
    <r>
      <t>CO</t>
    </r>
    <r>
      <rPr>
        <b/>
        <vertAlign val="subscript"/>
        <sz val="9"/>
        <rFont val="Arial"/>
        <family val="2"/>
      </rPr>
      <t>2</t>
    </r>
    <r>
      <rPr>
        <b/>
        <sz val="9"/>
        <rFont val="Arial"/>
        <family val="2"/>
      </rPr>
      <t xml:space="preserve"> = CO</t>
    </r>
    <r>
      <rPr>
        <b/>
        <vertAlign val="subscript"/>
        <sz val="9"/>
        <rFont val="Arial"/>
        <family val="2"/>
      </rPr>
      <t>2</t>
    </r>
    <r>
      <rPr>
        <b/>
        <sz val="9"/>
        <rFont val="Arial"/>
        <family val="2"/>
      </rPr>
      <t>-C Emission*(44/12)</t>
    </r>
  </si>
  <si>
    <r>
      <t>Emission Factor (kgCH</t>
    </r>
    <r>
      <rPr>
        <b/>
        <vertAlign val="subscript"/>
        <sz val="10"/>
        <color theme="0"/>
        <rFont val="Cambria"/>
        <family val="1"/>
        <scheme val="major"/>
      </rPr>
      <t>4</t>
    </r>
    <r>
      <rPr>
        <b/>
        <sz val="10"/>
        <color theme="0"/>
        <rFont val="Cambria"/>
        <family val="1"/>
        <scheme val="major"/>
      </rPr>
      <t>/Head/yr)</t>
    </r>
  </si>
  <si>
    <t>พื้นที่ป่าเพิ่ม คิด Forest remaining = ปีก่อนหน้า</t>
  </si>
  <si>
    <t>พื้นที่ป่าลด คิด Forest remaining = ปีฐาน</t>
  </si>
  <si>
    <r>
      <t>GHG Emission
(tCO</t>
    </r>
    <r>
      <rPr>
        <b/>
        <vertAlign val="subscript"/>
        <sz val="10"/>
        <rFont val="Cambria"/>
        <family val="1"/>
        <scheme val="major"/>
      </rPr>
      <t>2</t>
    </r>
    <r>
      <rPr>
        <b/>
        <sz val="10"/>
        <rFont val="Cambria"/>
        <family val="1"/>
        <scheme val="major"/>
      </rPr>
      <t>eq)</t>
    </r>
  </si>
  <si>
    <r>
      <t>tCO</t>
    </r>
    <r>
      <rPr>
        <b/>
        <vertAlign val="subscript"/>
        <sz val="10"/>
        <color theme="0"/>
        <rFont val="Cambria"/>
        <family val="1"/>
        <scheme val="major"/>
      </rPr>
      <t>2</t>
    </r>
    <r>
      <rPr>
        <b/>
        <sz val="10"/>
        <color theme="0"/>
        <rFont val="Cambria"/>
        <family val="1"/>
        <scheme val="major"/>
      </rPr>
      <t>eq</t>
    </r>
  </si>
  <si>
    <r>
      <t>(tCO</t>
    </r>
    <r>
      <rPr>
        <b/>
        <vertAlign val="subscript"/>
        <sz val="10"/>
        <color theme="0"/>
        <rFont val="Cambria"/>
        <family val="1"/>
        <scheme val="major"/>
      </rPr>
      <t>2</t>
    </r>
    <r>
      <rPr>
        <b/>
        <sz val="10"/>
        <color theme="0"/>
        <rFont val="Cambria"/>
        <family val="1"/>
        <scheme val="major"/>
      </rPr>
      <t>eq)</t>
    </r>
  </si>
  <si>
    <t>Cropland</t>
  </si>
  <si>
    <t>พื้นที่เพาะปลูก</t>
  </si>
  <si>
    <t>Grassland</t>
  </si>
  <si>
    <t>ทุ่งหญ้า</t>
  </si>
  <si>
    <t>Wetlands</t>
  </si>
  <si>
    <t>พื้นที่ชุ่มน้ำ</t>
  </si>
  <si>
    <t>Settlements</t>
  </si>
  <si>
    <t>พื้นที่ตั้งถิ่นฐาน</t>
  </si>
  <si>
    <t>ที่ดินประเภทอื่น</t>
  </si>
  <si>
    <r>
      <t xml:space="preserve"> [kg N</t>
    </r>
    <r>
      <rPr>
        <vertAlign val="subscript"/>
        <sz val="10"/>
        <rFont val="Cambria"/>
        <family val="1"/>
        <scheme val="major"/>
      </rPr>
      <t>2</t>
    </r>
    <r>
      <rPr>
        <sz val="10"/>
        <rFont val="Cambria"/>
        <family val="1"/>
        <scheme val="major"/>
      </rPr>
      <t>O-N (kg N input)</t>
    </r>
    <r>
      <rPr>
        <vertAlign val="superscript"/>
        <sz val="10"/>
        <rFont val="Cambria"/>
        <family val="1"/>
        <scheme val="major"/>
      </rPr>
      <t>-1</t>
    </r>
    <r>
      <rPr>
        <sz val="10"/>
        <rFont val="Cambria"/>
        <family val="1"/>
        <scheme val="major"/>
      </rPr>
      <t>]</t>
    </r>
  </si>
  <si>
    <r>
      <t>วัสดุทางการเกษตรและแหล่งการปล่อยที่ไม่ใช่ CO</t>
    </r>
    <r>
      <rPr>
        <b/>
        <vertAlign val="subscript"/>
        <sz val="10"/>
        <color theme="0"/>
        <rFont val="Tahoma"/>
        <family val="2"/>
      </rPr>
      <t xml:space="preserve">2 </t>
    </r>
    <r>
      <rPr>
        <b/>
        <sz val="10"/>
        <color theme="0"/>
        <rFont val="Tahoma"/>
        <family val="2"/>
      </rPr>
      <t>(Aggregate sources and non-CO</t>
    </r>
    <r>
      <rPr>
        <b/>
        <vertAlign val="subscript"/>
        <sz val="10"/>
        <color theme="0"/>
        <rFont val="Tahoma"/>
        <family val="2"/>
      </rPr>
      <t>2</t>
    </r>
    <r>
      <rPr>
        <b/>
        <sz val="10"/>
        <color theme="0"/>
        <rFont val="Tahoma"/>
        <family val="2"/>
      </rPr>
      <t xml:space="preserve"> emission sources on land)</t>
    </r>
  </si>
  <si>
    <t>MMSCF/year</t>
  </si>
  <si>
    <t>น้ำมันดีเซลหมุนเร็ว บี10 (Biodiesel B10)</t>
  </si>
  <si>
    <t>น้ำมันดีเซลหมุนเร็ว บี20 (Biodiesel B20)</t>
  </si>
  <si>
    <t>ดีเซล</t>
  </si>
  <si>
    <t>น้ำมันเบนซิน (Gasoline)</t>
  </si>
  <si>
    <t>ก๊าซธรรมชาติ (NGV)</t>
  </si>
  <si>
    <t>(scf)</t>
  </si>
  <si>
    <t>พลังงานในส่วนที่พักอาศัย (C+D)</t>
  </si>
  <si>
    <t>พลังงานในส่วนธุรกิจการค้าและหน่วยงานราชการ (E+H+I)</t>
  </si>
  <si>
    <t>พลังงานในอุตสาหกรรมการผลิต (F+G)</t>
  </si>
  <si>
    <t>พลังงานในภาคการเกษตร ป่าไม้ และประมง (J)</t>
  </si>
  <si>
    <t>พลังงานในแหล่งที่ไม่สามารถระบุได้ (K+L+M)</t>
  </si>
  <si>
    <t>ชีวมวล (Biomass)</t>
  </si>
  <si>
    <t>ไม้สับ</t>
  </si>
  <si>
    <t>เปลือกมะพร้าวแห้ง</t>
  </si>
  <si>
    <t>เปลือกมะพร้าวสด</t>
  </si>
  <si>
    <t>ทะลายปาล์ม</t>
  </si>
  <si>
    <t>แกลบ</t>
  </si>
  <si>
    <t>เรือโดยสาร/ท่องเที่ยวภายในจังหวัด  (กรณี ทราบระยะเวลาในการเดินทาง)</t>
  </si>
  <si>
    <t>เรือโดยสาร/ท่องเที่ยวภายในจังหวัด  (กรณี ทราบระยะทางในการเดินทาง)</t>
  </si>
  <si>
    <t>ระยะทาง
(กิโลเมตร)</t>
  </si>
  <si>
    <t>อัตราการสิ้นเปลืองเชื้อเพลิง 
(ลิตร/กิโลเมตร)</t>
  </si>
  <si>
    <t>เรือโดยสาร/ท่องเที่ยวภายนอกจังหวัด (กรณี ทราบระยะเวลาในการเดินทาง)</t>
  </si>
  <si>
    <t>เรือโดยสาร/ท่องเที่ยวภายนอกจังหวัด  (กรณี ทราบระยะทางในการเดินทาง)</t>
  </si>
  <si>
    <t>ปริมาณที่ผู้ค้าน้ำมันจำหน่ายให้ลูกค้าและผู้ใช้ในจังหวัด (ฐานข้อมูลพลังงานประเทศไทย)</t>
  </si>
  <si>
    <r>
      <t>การรั่วไหลของก๊าซเรือนกระจกจากกระบวนการทำเหมือง จัดเก็บ และขนส่งถ่านหิน (Fugitive emission</t>
    </r>
    <r>
      <rPr>
        <sz val="10"/>
        <color rgb="FF0000FF"/>
        <rFont val="Cambria"/>
        <family val="1"/>
        <scheme val="major"/>
      </rPr>
      <t>s</t>
    </r>
    <r>
      <rPr>
        <sz val="10"/>
        <rFont val="Cambria"/>
        <family val="1"/>
        <scheme val="major"/>
      </rPr>
      <t xml:space="preserve"> from mining</t>
    </r>
    <r>
      <rPr>
        <sz val="10"/>
        <color rgb="FF0000FF"/>
        <rFont val="Cambria"/>
        <family val="1"/>
        <scheme val="major"/>
      </rPr>
      <t>,</t>
    </r>
    <r>
      <rPr>
        <sz val="10"/>
        <rFont val="Cambria"/>
        <family val="1"/>
        <scheme val="major"/>
      </rPr>
      <t xml:space="preserve"> processing, storage and transportation of coal)</t>
    </r>
  </si>
  <si>
    <t xml:space="preserve">พลังงานในอุตสาหกรรมและการก่อสร้าง </t>
  </si>
  <si>
    <t>ชื่อจังหวัด</t>
  </si>
  <si>
    <t>เบอร์โทรศัพท์ที่สามารถติดต่อได้</t>
  </si>
  <si>
    <r>
      <t>Annual direct N</t>
    </r>
    <r>
      <rPr>
        <vertAlign val="subscript"/>
        <sz val="10"/>
        <rFont val="Cambria"/>
        <family val="1"/>
        <scheme val="major"/>
      </rPr>
      <t>2</t>
    </r>
    <r>
      <rPr>
        <sz val="10"/>
        <rFont val="Cambria"/>
        <family val="1"/>
        <scheme val="major"/>
      </rPr>
      <t>O-N emissions produced from managed organic soils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</si>
</sst>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0.0000"/>
    <numFmt numFmtId="168" formatCode="0.000"/>
    <numFmt numFmtId="169" formatCode="0.0"/>
    <numFmt numFmtId="170" formatCode="#,##0.0"/>
    <numFmt numFmtId="171" formatCode="#,##0.000"/>
    <numFmt numFmtId="172" formatCode="&quot; &quot;#,##0.00&quot; &quot;;&quot;-&quot;#,##0.00&quot; &quot;;&quot; -&quot;00&quot; &quot;;&quot; &quot;@&quot; &quot;"/>
    <numFmt numFmtId="173" formatCode="0.00000"/>
    <numFmt numFmtId="174" formatCode="_(* #,##0.0_);_(* \(#,##0.0\);_(* &quot;-&quot;??_);_(@_)"/>
    <numFmt numFmtId="175" formatCode="\(0.00%\)"/>
    <numFmt numFmtId="176" formatCode="0_ "/>
    <numFmt numFmtId="177" formatCode="0.0_ "/>
    <numFmt numFmtId="178" formatCode="0.00_ "/>
    <numFmt numFmtId="179" formatCode="0.000%"/>
    <numFmt numFmtId="180" formatCode="_-* #,##0_-;\-* #,##0_-;_-* &quot;-&quot;??_-;_-@_-"/>
    <numFmt numFmtId="181" formatCode="_-* #,##0.0_-;\-* #,##0.0_-;_-* &quot;-&quot;??_-;_-@_-"/>
    <numFmt numFmtId="182" formatCode="0.0_);\(0.0\)"/>
    <numFmt numFmtId="183" formatCode="0.00_);[Red]\(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2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62"/>
      <name val="Tahoma"/>
      <family val="2"/>
    </font>
    <font>
      <sz val="10"/>
      <name val="Arial"/>
      <family val="2"/>
    </font>
    <font>
      <sz val="16"/>
      <color theme="1"/>
      <name val="Angsana New"/>
      <family val="2"/>
      <charset val="222"/>
    </font>
    <font>
      <sz val="11"/>
      <color theme="1"/>
      <name val="Calibri"/>
      <family val="2"/>
      <charset val="222"/>
      <scheme val="minor"/>
    </font>
    <font>
      <b/>
      <sz val="11"/>
      <color rgb="FF3F3F3F"/>
      <name val="Calibri"/>
      <family val="2"/>
      <charset val="222"/>
      <scheme val="minor"/>
    </font>
    <font>
      <sz val="10"/>
      <name val="Arial"/>
      <family val="2"/>
    </font>
    <font>
      <sz val="16"/>
      <color theme="1"/>
      <name val="TH SarabunPSK"/>
      <family val="2"/>
    </font>
    <font>
      <sz val="12"/>
      <color theme="1"/>
      <name val="Calibri"/>
      <family val="2"/>
      <scheme val="minor"/>
    </font>
    <font>
      <sz val="11"/>
      <color rgb="FF000000"/>
      <name val="Calibri"/>
      <family val="2"/>
    </font>
    <font>
      <b/>
      <sz val="9"/>
      <color indexed="81"/>
      <name val="Tahoma"/>
      <family val="2"/>
    </font>
    <font>
      <sz val="9"/>
      <color indexed="81"/>
      <name val="Tahoma"/>
      <family val="2"/>
    </font>
    <font>
      <u/>
      <sz val="7"/>
      <color theme="10"/>
      <name val="Arial"/>
      <family val="2"/>
    </font>
    <font>
      <b/>
      <sz val="10"/>
      <color theme="0"/>
      <name val="Cambria"/>
      <family val="2"/>
      <scheme val="major"/>
    </font>
    <font>
      <sz val="10"/>
      <color theme="1"/>
      <name val="Cambria"/>
      <family val="2"/>
      <scheme val="major"/>
    </font>
    <font>
      <b/>
      <sz val="10"/>
      <color theme="1"/>
      <name val="Cambria"/>
      <family val="2"/>
      <scheme val="major"/>
    </font>
    <font>
      <b/>
      <vertAlign val="superscript"/>
      <sz val="10"/>
      <color theme="0"/>
      <name val="Cambria"/>
      <family val="2"/>
      <scheme val="major"/>
    </font>
    <font>
      <sz val="10"/>
      <name val="Cambria"/>
      <family val="2"/>
      <scheme val="major"/>
    </font>
    <font>
      <sz val="10"/>
      <color theme="1"/>
      <name val="Calibri"/>
      <family val="2"/>
      <charset val="222"/>
      <scheme val="minor"/>
    </font>
    <font>
      <b/>
      <sz val="10"/>
      <name val="Cambria"/>
      <family val="2"/>
      <scheme val="major"/>
    </font>
    <font>
      <sz val="9"/>
      <color theme="1"/>
      <name val="Calibri"/>
      <family val="2"/>
      <charset val="222"/>
      <scheme val="minor"/>
    </font>
    <font>
      <sz val="10"/>
      <color theme="1"/>
      <name val="Calibri"/>
      <family val="2"/>
      <scheme val="minor"/>
    </font>
    <font>
      <vertAlign val="superscript"/>
      <sz val="10"/>
      <name val="Cambria"/>
      <family val="2"/>
      <scheme val="major"/>
    </font>
    <font>
      <b/>
      <sz val="10"/>
      <name val="Calibri"/>
      <family val="2"/>
      <scheme val="minor"/>
    </font>
    <font>
      <sz val="10"/>
      <name val="Calibri"/>
      <family val="2"/>
      <scheme val="minor"/>
    </font>
    <font>
      <b/>
      <sz val="10"/>
      <color theme="1"/>
      <name val="Calibri"/>
      <family val="2"/>
      <scheme val="minor"/>
    </font>
    <font>
      <b/>
      <sz val="10"/>
      <color theme="0"/>
      <name val="Calibri"/>
      <family val="2"/>
      <scheme val="minor"/>
    </font>
    <font>
      <b/>
      <vertAlign val="subscript"/>
      <sz val="10"/>
      <color theme="0"/>
      <name val="Calibri"/>
      <family val="2"/>
      <scheme val="minor"/>
    </font>
    <font>
      <sz val="10"/>
      <color rgb="FF000000"/>
      <name val="Calibri"/>
      <family val="2"/>
      <scheme val="minor"/>
    </font>
    <font>
      <b/>
      <sz val="10"/>
      <color rgb="FF000000"/>
      <name val="Calibri"/>
      <family val="2"/>
      <scheme val="minor"/>
    </font>
    <font>
      <sz val="10"/>
      <color theme="0"/>
      <name val="Calibri"/>
      <family val="2"/>
      <scheme val="minor"/>
    </font>
    <font>
      <b/>
      <sz val="9"/>
      <name val="Arial"/>
      <family val="2"/>
    </font>
    <font>
      <b/>
      <vertAlign val="subscript"/>
      <sz val="9"/>
      <name val="Arial"/>
      <family val="2"/>
    </font>
    <font>
      <sz val="9"/>
      <name val="Arial"/>
      <family val="2"/>
    </font>
    <font>
      <vertAlign val="superscript"/>
      <sz val="9"/>
      <name val="Arial"/>
      <family val="2"/>
    </font>
    <font>
      <b/>
      <sz val="9"/>
      <name val="Symbol"/>
      <family val="1"/>
      <charset val="2"/>
    </font>
    <font>
      <sz val="8"/>
      <name val="Arial"/>
      <family val="2"/>
    </font>
    <font>
      <b/>
      <vertAlign val="superscript"/>
      <sz val="9"/>
      <name val="Arial"/>
      <family val="2"/>
    </font>
    <font>
      <sz val="18"/>
      <color indexed="53"/>
      <name val="Book Antiqua"/>
      <family val="1"/>
    </font>
    <font>
      <sz val="14"/>
      <color indexed="53"/>
      <name val="Browallia New"/>
      <family val="2"/>
    </font>
    <font>
      <b/>
      <sz val="18"/>
      <color indexed="53"/>
      <name val="Browallia New"/>
      <family val="2"/>
    </font>
    <font>
      <sz val="14"/>
      <color indexed="53"/>
      <name val="Book Antiqua"/>
      <family val="1"/>
    </font>
    <font>
      <sz val="10"/>
      <color theme="1"/>
      <name val="Tahoma"/>
      <family val="2"/>
    </font>
    <font>
      <sz val="8"/>
      <name val="Arial"/>
      <family val="2"/>
    </font>
    <font>
      <vertAlign val="superscript"/>
      <sz val="10"/>
      <color theme="1"/>
      <name val="Tahoma"/>
      <family val="2"/>
    </font>
    <font>
      <vertAlign val="subscript"/>
      <sz val="10"/>
      <color theme="1"/>
      <name val="Tahoma"/>
      <family val="2"/>
    </font>
    <font>
      <b/>
      <sz val="10"/>
      <color theme="0"/>
      <name val="Tahoma"/>
      <family val="2"/>
    </font>
    <font>
      <b/>
      <sz val="10"/>
      <color theme="0"/>
      <name val="Cambria"/>
      <family val="1"/>
      <scheme val="major"/>
    </font>
    <font>
      <sz val="10"/>
      <color theme="1"/>
      <name val="Cambria"/>
      <family val="1"/>
      <scheme val="major"/>
    </font>
    <font>
      <sz val="10"/>
      <name val="Cambria"/>
      <family val="1"/>
      <scheme val="major"/>
    </font>
    <font>
      <b/>
      <sz val="10"/>
      <name val="Cambria"/>
      <family val="1"/>
      <scheme val="major"/>
    </font>
    <font>
      <b/>
      <vertAlign val="subscript"/>
      <sz val="10"/>
      <name val="Cambria"/>
      <family val="1"/>
      <scheme val="major"/>
    </font>
    <font>
      <sz val="10"/>
      <color rgb="FF0000FF"/>
      <name val="Cambria"/>
      <family val="1"/>
      <scheme val="major"/>
    </font>
    <font>
      <b/>
      <sz val="10"/>
      <color theme="9" tint="-0.249977111117893"/>
      <name val="Cambria"/>
      <family val="1"/>
      <scheme val="major"/>
    </font>
    <font>
      <b/>
      <sz val="10"/>
      <color rgb="FF002060"/>
      <name val="Cambria"/>
      <family val="1"/>
      <scheme val="major"/>
    </font>
    <font>
      <vertAlign val="superscript"/>
      <sz val="10"/>
      <name val="Cambria"/>
      <family val="1"/>
      <scheme val="major"/>
    </font>
    <font>
      <b/>
      <sz val="10"/>
      <color theme="1"/>
      <name val="Cambria"/>
      <family val="1"/>
      <scheme val="major"/>
    </font>
    <font>
      <sz val="10"/>
      <color rgb="FF000000"/>
      <name val="Cambria"/>
      <family val="1"/>
      <scheme val="major"/>
    </font>
    <font>
      <sz val="10"/>
      <color theme="0"/>
      <name val="Cambria"/>
      <family val="1"/>
      <scheme val="major"/>
    </font>
    <font>
      <sz val="10"/>
      <color rgb="FFFF0000"/>
      <name val="Cambria"/>
      <family val="1"/>
      <scheme val="major"/>
    </font>
    <font>
      <b/>
      <sz val="10"/>
      <color rgb="FFFF0000"/>
      <name val="Cambria"/>
      <family val="1"/>
      <scheme val="major"/>
    </font>
    <font>
      <b/>
      <vertAlign val="subscript"/>
      <sz val="10"/>
      <color theme="1"/>
      <name val="Cambria"/>
      <family val="1"/>
      <scheme val="major"/>
    </font>
    <font>
      <u/>
      <sz val="10"/>
      <color theme="10"/>
      <name val="Arial"/>
      <family val="2"/>
    </font>
    <font>
      <u/>
      <sz val="10"/>
      <color theme="10"/>
      <name val="Cambria"/>
      <family val="1"/>
      <scheme val="major"/>
    </font>
    <font>
      <b/>
      <sz val="10"/>
      <color rgb="FF000000"/>
      <name val="Cambria"/>
      <family val="1"/>
      <scheme val="major"/>
    </font>
    <font>
      <sz val="10"/>
      <color rgb="FFC00000"/>
      <name val="Cambria"/>
      <family val="1"/>
      <scheme val="major"/>
    </font>
    <font>
      <b/>
      <sz val="10"/>
      <color rgb="FFFFFFFF"/>
      <name val="Cambria"/>
      <family val="1"/>
      <scheme val="major"/>
    </font>
    <font>
      <vertAlign val="subscript"/>
      <sz val="10"/>
      <color theme="1"/>
      <name val="Cambria"/>
      <family val="1"/>
      <scheme val="major"/>
    </font>
    <font>
      <vertAlign val="superscript"/>
      <sz val="10"/>
      <color theme="1"/>
      <name val="Cambria"/>
      <family val="1"/>
      <scheme val="major"/>
    </font>
    <font>
      <b/>
      <vertAlign val="subscript"/>
      <sz val="10"/>
      <color theme="0"/>
      <name val="Cambria"/>
      <family val="1"/>
      <scheme val="major"/>
    </font>
    <font>
      <vertAlign val="superscript"/>
      <sz val="10"/>
      <color rgb="FF000000"/>
      <name val="Cambria"/>
      <family val="1"/>
      <scheme val="major"/>
    </font>
    <font>
      <vertAlign val="subscript"/>
      <sz val="10"/>
      <color indexed="8"/>
      <name val="Cambria"/>
      <family val="1"/>
      <scheme val="major"/>
    </font>
    <font>
      <sz val="10"/>
      <color indexed="8"/>
      <name val="Cambria"/>
      <family val="1"/>
      <scheme val="major"/>
    </font>
    <font>
      <sz val="10"/>
      <color rgb="FF002060"/>
      <name val="Cambria"/>
      <family val="1"/>
      <scheme val="major"/>
    </font>
    <font>
      <b/>
      <vertAlign val="superscript"/>
      <sz val="10"/>
      <color theme="1"/>
      <name val="Cambria"/>
      <family val="1"/>
      <scheme val="major"/>
    </font>
    <font>
      <i/>
      <sz val="10"/>
      <color rgb="FF000000"/>
      <name val="Cambria"/>
      <family val="1"/>
      <scheme val="major"/>
    </font>
    <font>
      <b/>
      <sz val="12"/>
      <name val="Cambria"/>
      <family val="1"/>
      <scheme val="major"/>
    </font>
    <font>
      <b/>
      <vertAlign val="subscript"/>
      <sz val="10"/>
      <color theme="0"/>
      <name val="Tahoma"/>
      <family val="2"/>
    </font>
    <font>
      <b/>
      <sz val="10"/>
      <color rgb="FF0000FF"/>
      <name val="Cambria"/>
      <family val="1"/>
      <scheme val="major"/>
    </font>
    <font>
      <vertAlign val="subscript"/>
      <sz val="10"/>
      <name val="Cambria"/>
      <family val="1"/>
      <scheme val="major"/>
    </font>
    <font>
      <b/>
      <vertAlign val="superscript"/>
      <sz val="10"/>
      <color theme="9" tint="-0.249977111117893"/>
      <name val="Cambria"/>
      <family val="1"/>
      <scheme val="major"/>
    </font>
    <font>
      <sz val="10"/>
      <color theme="9" tint="-0.249977111117893"/>
      <name val="Cambria"/>
      <family val="1"/>
      <scheme val="major"/>
    </font>
    <font>
      <b/>
      <vertAlign val="subscript"/>
      <sz val="10"/>
      <color rgb="FFFF0000"/>
      <name val="Cambria"/>
      <family val="1"/>
      <scheme val="major"/>
    </font>
    <font>
      <b/>
      <vertAlign val="subscript"/>
      <sz val="10"/>
      <color rgb="FFFFFFFF"/>
      <name val="Cambria"/>
      <family val="1"/>
      <scheme val="major"/>
    </font>
    <font>
      <b/>
      <vertAlign val="superscript"/>
      <sz val="10"/>
      <color rgb="FFFFFFFF"/>
      <name val="Cambria"/>
      <family val="1"/>
      <scheme val="major"/>
    </font>
    <font>
      <b/>
      <vertAlign val="superscript"/>
      <sz val="10"/>
      <color theme="0"/>
      <name val="Cambria"/>
      <family val="1"/>
      <scheme val="major"/>
    </font>
    <font>
      <b/>
      <vertAlign val="subscript"/>
      <sz val="10"/>
      <color rgb="FF002060"/>
      <name val="Cambria"/>
      <family val="1"/>
      <scheme val="major"/>
    </font>
    <font>
      <b/>
      <vertAlign val="superscript"/>
      <sz val="10"/>
      <color rgb="FF002060"/>
      <name val="Cambria"/>
      <family val="1"/>
      <scheme val="major"/>
    </font>
    <font>
      <b/>
      <vertAlign val="subscript"/>
      <sz val="10"/>
      <color theme="9" tint="-0.249977111117893"/>
      <name val="Cambria"/>
      <family val="1"/>
      <scheme val="major"/>
    </font>
    <font>
      <sz val="10"/>
      <color rgb="FF00B050"/>
      <name val="Cambria"/>
      <family val="1"/>
      <scheme val="major"/>
    </font>
    <font>
      <sz val="10"/>
      <color rgb="FF0033CC"/>
      <name val="Cambria"/>
      <family val="1"/>
      <scheme val="major"/>
    </font>
    <font>
      <b/>
      <sz val="10"/>
      <color rgb="FF0033CC"/>
      <name val="Cambria"/>
      <family val="1"/>
      <scheme val="major"/>
    </font>
    <font>
      <sz val="10"/>
      <color rgb="FFFF9900"/>
      <name val="Cambria"/>
      <family val="1"/>
      <scheme val="major"/>
    </font>
    <font>
      <sz val="10"/>
      <color rgb="FFFF66FF"/>
      <name val="Cambria"/>
      <family val="1"/>
      <scheme val="major"/>
    </font>
    <font>
      <sz val="10"/>
      <color rgb="FF0070C0"/>
      <name val="Cambria"/>
      <family val="1"/>
      <scheme val="major"/>
    </font>
    <font>
      <b/>
      <i/>
      <sz val="10"/>
      <color theme="0"/>
      <name val="Cambria"/>
      <family val="1"/>
      <scheme val="major"/>
    </font>
    <font>
      <sz val="9"/>
      <color theme="1"/>
      <name val="Arial"/>
      <family val="2"/>
    </font>
    <font>
      <sz val="10"/>
      <color theme="1" tint="0.249977111117893"/>
      <name val="Cambria"/>
      <family val="1"/>
      <scheme val="major"/>
    </font>
    <font>
      <sz val="10"/>
      <name val="Arial"/>
      <family val="2"/>
    </font>
    <font>
      <b/>
      <u/>
      <sz val="10"/>
      <color theme="0"/>
      <name val="Cambria"/>
      <family val="1"/>
      <scheme val="major"/>
    </font>
    <font>
      <sz val="10"/>
      <color theme="7" tint="-0.249977111117893"/>
      <name val="Cambria"/>
      <family val="1"/>
      <scheme val="major"/>
    </font>
    <font>
      <sz val="11"/>
      <color indexed="8"/>
      <name val="Calibri"/>
      <family val="2"/>
    </font>
    <font>
      <b/>
      <vertAlign val="superscript"/>
      <sz val="10"/>
      <name val="Cambria"/>
      <family val="1"/>
      <scheme val="major"/>
    </font>
    <font>
      <sz val="11"/>
      <color theme="1"/>
      <name val="Calibri"/>
      <family val="2"/>
      <charset val="222"/>
    </font>
    <font>
      <sz val="8"/>
      <name val="Arial"/>
      <family val="2"/>
    </font>
    <font>
      <sz val="10"/>
      <name val="TH SarabunPSK"/>
      <family val="2"/>
    </font>
    <font>
      <b/>
      <sz val="10"/>
      <color rgb="FF002060"/>
      <name val="Cambria"/>
      <family val="2"/>
      <scheme val="major"/>
    </font>
    <font>
      <vertAlign val="subscript"/>
      <sz val="9"/>
      <name val="Arial"/>
      <family val="2"/>
    </font>
    <font>
      <b/>
      <vertAlign val="subscript"/>
      <sz val="10"/>
      <color indexed="8"/>
      <name val="Cambria"/>
      <family val="1"/>
      <scheme val="major"/>
    </font>
    <font>
      <b/>
      <sz val="10"/>
      <color indexed="8"/>
      <name val="Cambria"/>
      <family val="1"/>
      <scheme val="major"/>
    </font>
    <font>
      <sz val="8"/>
      <name val="Arial"/>
      <family val="2"/>
    </font>
    <font>
      <sz val="10"/>
      <color rgb="FFFF0000"/>
      <name val="Arial"/>
      <family val="2"/>
    </font>
    <font>
      <sz val="10"/>
      <name val="Tahoma (หัวเรื่อง)"/>
      <charset val="222"/>
    </font>
    <font>
      <b/>
      <sz val="10"/>
      <color theme="0"/>
      <name val="Cambria"/>
      <family val="1"/>
    </font>
    <font>
      <sz val="10"/>
      <name val="Cambria"/>
      <family val="1"/>
    </font>
    <font>
      <vertAlign val="subscript"/>
      <sz val="10"/>
      <name val="Cambria"/>
      <family val="1"/>
    </font>
    <font>
      <vertAlign val="superscript"/>
      <sz val="10"/>
      <name val="Cambria"/>
      <family val="1"/>
    </font>
    <font>
      <sz val="10"/>
      <color theme="1"/>
      <name val="Cambria"/>
      <family val="1"/>
    </font>
    <font>
      <sz val="10"/>
      <color theme="1"/>
      <name val="Cambria"/>
      <family val="1"/>
    </font>
    <font>
      <b/>
      <sz val="10"/>
      <color rgb="FFFF0000"/>
      <name val="Cambria"/>
      <family val="1"/>
    </font>
    <font>
      <b/>
      <i/>
      <sz val="10"/>
      <name val="Cambria"/>
      <family val="1"/>
      <scheme val="major"/>
    </font>
    <font>
      <b/>
      <sz val="10"/>
      <name val="Arial"/>
      <family val="2"/>
    </font>
    <font>
      <sz val="10"/>
      <color rgb="FFFF05BE"/>
      <name val="Cambria"/>
      <family val="1"/>
      <scheme val="major"/>
    </font>
    <font>
      <vertAlign val="subscript"/>
      <sz val="10"/>
      <color theme="0"/>
      <name val="Cambria"/>
      <family val="1"/>
      <scheme val="major"/>
    </font>
    <font>
      <vertAlign val="subscript"/>
      <sz val="9"/>
      <color indexed="81"/>
      <name val="Tahoma"/>
      <family val="2"/>
    </font>
    <font>
      <b/>
      <vertAlign val="subscript"/>
      <sz val="10"/>
      <color rgb="FF000000"/>
      <name val="Cambria"/>
      <family val="1"/>
      <scheme val="major"/>
    </font>
    <font>
      <vertAlign val="subscript"/>
      <sz val="10"/>
      <color rgb="FF000000"/>
      <name val="Cambria"/>
      <family val="1"/>
      <scheme val="major"/>
    </font>
    <font>
      <b/>
      <vertAlign val="subscript"/>
      <sz val="10"/>
      <color theme="1"/>
      <name val="Cambria"/>
      <family val="1"/>
    </font>
    <font>
      <b/>
      <u/>
      <sz val="10"/>
      <name val="Cambria"/>
      <family val="1"/>
      <scheme val="major"/>
    </font>
    <font>
      <b/>
      <sz val="10"/>
      <color theme="0"/>
      <name val="Arial"/>
      <family val="2"/>
    </font>
  </fonts>
  <fills count="65">
    <fill>
      <patternFill patternType="none"/>
    </fill>
    <fill>
      <patternFill patternType="gray125"/>
    </fill>
    <fill>
      <patternFill patternType="solid">
        <fgColor indexed="47"/>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rgb="FFF2F2F2"/>
      </patternFill>
    </fill>
    <fill>
      <patternFill patternType="solid">
        <fgColor theme="0" tint="-0.14999847407452621"/>
        <bgColor indexed="64"/>
      </patternFill>
    </fill>
    <fill>
      <patternFill patternType="solid">
        <fgColor theme="0"/>
        <bgColor indexed="64"/>
      </patternFill>
    </fill>
    <fill>
      <patternFill patternType="solid">
        <fgColor rgb="FFD9D9D9"/>
        <bgColor rgb="FF000000"/>
      </patternFill>
    </fill>
    <fill>
      <patternFill patternType="solid">
        <fgColor rgb="FFE2F2E0"/>
        <bgColor indexed="64"/>
      </patternFill>
    </fill>
    <fill>
      <patternFill patternType="solid">
        <fgColor rgb="FFB8CDE7"/>
        <bgColor indexed="64"/>
      </patternFill>
    </fill>
    <fill>
      <patternFill patternType="solid">
        <fgColor rgb="FFE6D5ED"/>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DE9D9"/>
        <bgColor indexed="64"/>
      </patternFill>
    </fill>
    <fill>
      <patternFill patternType="solid">
        <fgColor rgb="FFFFFFFF"/>
        <bgColor rgb="FF000000"/>
      </patternFill>
    </fill>
    <fill>
      <patternFill patternType="solid">
        <fgColor rgb="FFE2F2E0"/>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FFFF99"/>
        <bgColor indexed="64"/>
      </patternFill>
    </fill>
    <fill>
      <patternFill patternType="solid">
        <fgColor rgb="FF0070C0"/>
        <bgColor indexed="64"/>
      </patternFill>
    </fill>
    <fill>
      <patternFill patternType="solid">
        <fgColor theme="8" tint="0.79998168889431442"/>
        <bgColor indexed="64"/>
      </patternFill>
    </fill>
    <fill>
      <patternFill patternType="solid">
        <fgColor rgb="FF00206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2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9AE8E6"/>
        <bgColor indexed="64"/>
      </patternFill>
    </fill>
    <fill>
      <patternFill patternType="solid">
        <fgColor rgb="FFCCCCFF"/>
        <bgColor indexed="64"/>
      </patternFill>
    </fill>
    <fill>
      <patternFill patternType="solid">
        <fgColor rgb="FFFF99CC"/>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8" tint="0.39997558519241921"/>
        <bgColor indexed="64"/>
      </patternFill>
    </fill>
    <fill>
      <patternFill patternType="solid">
        <fgColor theme="3" tint="-0.249977111117893"/>
        <bgColor indexed="64"/>
      </patternFill>
    </fill>
    <fill>
      <patternFill patternType="solid">
        <fgColor theme="9" tint="-0.499984740745262"/>
        <bgColor indexed="64"/>
      </patternFill>
    </fill>
    <fill>
      <patternFill patternType="solid">
        <fgColor rgb="FF2B4B85"/>
        <bgColor indexed="64"/>
      </patternFill>
    </fill>
    <fill>
      <patternFill patternType="solid">
        <fgColor rgb="FFF0F0F0"/>
        <bgColor indexed="64"/>
      </patternFill>
    </fill>
    <fill>
      <patternFill patternType="solid">
        <fgColor theme="4"/>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indexed="63"/>
        <bgColor indexed="64"/>
      </patternFill>
    </fill>
    <fill>
      <patternFill patternType="solid">
        <fgColor indexed="55"/>
        <bgColor indexed="64"/>
      </patternFill>
    </fill>
    <fill>
      <patternFill patternType="solid">
        <fgColor theme="7" tint="-0.499984740745262"/>
        <bgColor indexed="64"/>
      </patternFill>
    </fill>
    <fill>
      <patternFill patternType="solid">
        <fgColor indexed="23"/>
        <bgColor indexed="64"/>
      </patternFill>
    </fill>
    <fill>
      <patternFill patternType="solid">
        <fgColor theme="5" tint="-0.499984740745262"/>
        <bgColor indexed="64"/>
      </patternFill>
    </fill>
    <fill>
      <patternFill patternType="solid">
        <fgColor rgb="FF00B050"/>
        <bgColor indexed="64"/>
      </patternFill>
    </fill>
    <fill>
      <patternFill patternType="solid">
        <fgColor rgb="FF31869B"/>
        <bgColor indexed="64"/>
      </patternFill>
    </fill>
    <fill>
      <patternFill patternType="solid">
        <fgColor theme="3" tint="-0.499984740745262"/>
        <bgColor indexed="64"/>
      </patternFill>
    </fill>
    <fill>
      <patternFill patternType="solid">
        <fgColor rgb="FFFFFF99"/>
        <bgColor rgb="FF000000"/>
      </patternFill>
    </fill>
    <fill>
      <patternFill patternType="solid">
        <fgColor theme="6"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FFFF"/>
        <bgColor indexed="64"/>
      </patternFill>
    </fill>
    <fill>
      <patternFill patternType="solid">
        <fgColor rgb="FF92D050"/>
        <bgColor indexed="64"/>
      </patternFill>
    </fill>
    <fill>
      <patternFill patternType="solid">
        <fgColor rgb="FF009900"/>
        <bgColor indexed="64"/>
      </patternFill>
    </fill>
    <fill>
      <patternFill patternType="solid">
        <fgColor theme="6" tint="0.59999389629810485"/>
        <bgColor indexed="64"/>
      </patternFill>
    </fill>
  </fills>
  <borders count="215">
    <border>
      <left/>
      <right/>
      <top/>
      <bottom/>
      <diagonal/>
    </border>
    <border>
      <left style="thin">
        <color indexed="23"/>
      </left>
      <right style="thin">
        <color indexed="23"/>
      </right>
      <top style="thin">
        <color indexed="23"/>
      </top>
      <bottom style="thin">
        <color indexed="23"/>
      </bottom>
      <diagonal/>
    </border>
    <border>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right/>
      <top style="medium">
        <color auto="1"/>
      </top>
      <bottom/>
      <diagonal/>
    </border>
    <border>
      <left style="medium">
        <color auto="1"/>
      </left>
      <right/>
      <top/>
      <bottom/>
      <diagonal/>
    </border>
    <border>
      <left style="medium">
        <color auto="1"/>
      </left>
      <right style="thin">
        <color auto="1"/>
      </right>
      <top/>
      <bottom/>
      <diagonal/>
    </border>
    <border>
      <left style="medium">
        <color auto="1"/>
      </left>
      <right/>
      <top/>
      <bottom style="thin">
        <color auto="1"/>
      </bottom>
      <diagonal/>
    </border>
    <border>
      <left/>
      <right/>
      <top/>
      <bottom style="medium">
        <color auto="1"/>
      </bottom>
      <diagonal/>
    </border>
    <border>
      <left/>
      <right style="thin">
        <color auto="1"/>
      </right>
      <top/>
      <bottom style="medium">
        <color auto="1"/>
      </bottom>
      <diagonal/>
    </border>
    <border>
      <left style="medium">
        <color auto="1"/>
      </left>
      <right/>
      <top style="thin">
        <color auto="1"/>
      </top>
      <bottom/>
      <diagonal/>
    </border>
    <border>
      <left/>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medium">
        <color indexed="64"/>
      </left>
      <right style="thin">
        <color auto="1"/>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rgb="FF000000"/>
      </bottom>
      <diagonal/>
    </border>
    <border>
      <left style="medium">
        <color indexed="64"/>
      </left>
      <right style="thin">
        <color indexed="64"/>
      </right>
      <top style="thin">
        <color indexed="64"/>
      </top>
      <bottom/>
      <diagonal/>
    </border>
    <border>
      <left/>
      <right style="medium">
        <color indexed="64"/>
      </right>
      <top style="thin">
        <color rgb="FF00000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auto="1"/>
      </left>
      <right style="medium">
        <color indexed="64"/>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indexed="64"/>
      </left>
      <right style="medium">
        <color indexed="64"/>
      </right>
      <top style="thin">
        <color indexed="64"/>
      </top>
      <bottom style="thin">
        <color indexed="64"/>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auto="1"/>
      </left>
      <right/>
      <top style="thin">
        <color rgb="FF000000"/>
      </top>
      <bottom style="thin">
        <color rgb="FF000000"/>
      </bottom>
      <diagonal/>
    </border>
    <border>
      <left/>
      <right/>
      <top style="thin">
        <color rgb="FF000000"/>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style="medium">
        <color indexed="8"/>
      </right>
      <top style="medium">
        <color indexed="64"/>
      </top>
      <bottom style="medium">
        <color indexed="64"/>
      </bottom>
      <diagonal/>
    </border>
    <border>
      <left/>
      <right/>
      <top/>
      <bottom style="double">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indexed="64"/>
      </top>
      <bottom style="thin">
        <color auto="1"/>
      </bottom>
      <diagonal/>
    </border>
    <border>
      <left style="medium">
        <color auto="1"/>
      </left>
      <right/>
      <top style="thin">
        <color auto="1"/>
      </top>
      <bottom style="medium">
        <color auto="1"/>
      </bottom>
      <diagonal/>
    </border>
    <border>
      <left/>
      <right style="medium">
        <color auto="1"/>
      </right>
      <top/>
      <bottom style="medium">
        <color auto="1"/>
      </bottom>
      <diagonal/>
    </border>
    <border>
      <left/>
      <right style="thin">
        <color rgb="FF000000"/>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theme="0" tint="-0.34998626667073579"/>
      </left>
      <right/>
      <top/>
      <bottom style="thin">
        <color theme="0" tint="-0.34998626667073579"/>
      </bottom>
      <diagonal/>
    </border>
    <border>
      <left style="thin">
        <color theme="4"/>
      </left>
      <right/>
      <top style="thin">
        <color theme="4"/>
      </top>
      <bottom/>
      <diagonal/>
    </border>
    <border>
      <left style="thin">
        <color theme="0"/>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style="thin">
        <color auto="1"/>
      </bottom>
      <diagonal/>
    </border>
    <border>
      <left style="thin">
        <color theme="0" tint="-0.34998626667073579"/>
      </left>
      <right style="thin">
        <color theme="0" tint="-0.34998626667073579"/>
      </right>
      <top style="thin">
        <color theme="0" tint="-0.34998626667073579"/>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medium">
        <color indexed="64"/>
      </top>
      <bottom style="medium">
        <color indexed="64"/>
      </bottom>
      <diagonal/>
    </border>
    <border>
      <left/>
      <right style="thin">
        <color theme="0" tint="-0.34998626667073579"/>
      </right>
      <top style="medium">
        <color indexed="64"/>
      </top>
      <bottom style="medium">
        <color indexed="64"/>
      </bottom>
      <diagonal/>
    </border>
    <border>
      <left style="medium">
        <color indexed="64"/>
      </left>
      <right style="medium">
        <color indexed="64"/>
      </right>
      <top style="medium">
        <color indexed="64"/>
      </top>
      <bottom style="thin">
        <color theme="0" tint="-0.34998626667073579"/>
      </bottom>
      <diagonal/>
    </border>
    <border>
      <left style="thin">
        <color theme="0" tint="-0.34998626667073579"/>
      </left>
      <right/>
      <top style="medium">
        <color indexed="64"/>
      </top>
      <bottom style="medium">
        <color indexed="64"/>
      </bottom>
      <diagonal/>
    </border>
    <border>
      <left style="medium">
        <color indexed="64"/>
      </left>
      <right style="medium">
        <color indexed="64"/>
      </right>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indexed="8"/>
      </left>
      <right/>
      <top style="medium">
        <color indexed="64"/>
      </top>
      <bottom style="medium">
        <color indexed="64"/>
      </bottom>
      <diagonal/>
    </border>
    <border>
      <left style="thin">
        <color indexed="64"/>
      </left>
      <right/>
      <top style="thin">
        <color indexed="64"/>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indexed="64"/>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right style="thin">
        <color theme="0" tint="-0.34998626667073579"/>
      </right>
      <top style="medium">
        <color indexed="64"/>
      </top>
      <bottom style="thin">
        <color theme="0" tint="-0.34998626667073579"/>
      </bottom>
      <diagonal/>
    </border>
    <border>
      <left style="medium">
        <color indexed="64"/>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style="medium">
        <color auto="1"/>
      </top>
      <bottom/>
      <diagonal/>
    </border>
    <border>
      <left style="medium">
        <color indexed="64"/>
      </left>
      <right style="medium">
        <color indexed="64"/>
      </right>
      <top/>
      <bottom style="medium">
        <color indexed="8"/>
      </bottom>
      <diagonal/>
    </border>
    <border>
      <left/>
      <right/>
      <top/>
      <bottom style="medium">
        <color indexed="64"/>
      </bottom>
      <diagonal/>
    </border>
    <border>
      <left/>
      <right style="thin">
        <color rgb="FF000000"/>
      </right>
      <top/>
      <bottom style="medium">
        <color indexed="64"/>
      </bottom>
      <diagonal/>
    </border>
    <border>
      <left style="thin">
        <color auto="1"/>
      </left>
      <right/>
      <top/>
      <bottom style="medium">
        <color auto="1"/>
      </bottom>
      <diagonal/>
    </border>
    <border>
      <left style="thin">
        <color auto="1"/>
      </left>
      <right style="thin">
        <color auto="1"/>
      </right>
      <top/>
      <bottom style="medium">
        <color auto="1"/>
      </bottom>
      <diagonal/>
    </border>
    <border>
      <left/>
      <right style="medium">
        <color indexed="8"/>
      </right>
      <top/>
      <bottom style="medium">
        <color indexed="64"/>
      </bottom>
      <diagonal/>
    </border>
    <border>
      <left style="medium">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8"/>
      </right>
      <top style="medium">
        <color indexed="64"/>
      </top>
      <bottom/>
      <diagonal/>
    </border>
    <border>
      <left/>
      <right style="medium">
        <color indexed="64"/>
      </right>
      <top style="medium">
        <color indexed="64"/>
      </top>
      <bottom/>
      <diagonal/>
    </border>
    <border>
      <left style="medium">
        <color auto="1"/>
      </left>
      <right/>
      <top style="medium">
        <color auto="1"/>
      </top>
      <bottom/>
      <diagonal/>
    </border>
    <border>
      <left style="thin">
        <color indexed="64"/>
      </left>
      <right style="medium">
        <color indexed="64"/>
      </right>
      <top style="thin">
        <color indexed="64"/>
      </top>
      <bottom style="thin">
        <color indexed="64"/>
      </bottom>
      <diagonal/>
    </border>
    <border>
      <left style="medium">
        <color auto="1"/>
      </left>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8"/>
      </top>
      <bottom/>
      <diagonal/>
    </border>
    <border>
      <left style="medium">
        <color auto="1"/>
      </left>
      <right/>
      <top style="medium">
        <color auto="1"/>
      </top>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indexed="64"/>
      </top>
      <bottom style="thin">
        <color indexed="64"/>
      </bottom>
      <diagonal/>
    </border>
    <border>
      <left/>
      <right style="medium">
        <color indexed="8"/>
      </right>
      <top/>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top/>
      <bottom style="medium">
        <color indexed="64"/>
      </bottom>
      <diagonal/>
    </border>
    <border>
      <left style="medium">
        <color indexed="8"/>
      </left>
      <right style="medium">
        <color indexed="64"/>
      </right>
      <top/>
      <bottom style="medium">
        <color indexed="64"/>
      </bottom>
      <diagonal/>
    </border>
    <border>
      <left style="medium">
        <color indexed="64"/>
      </left>
      <right/>
      <top/>
      <bottom style="double">
        <color indexed="64"/>
      </bottom>
      <diagonal/>
    </border>
    <border>
      <left/>
      <right style="medium">
        <color indexed="8"/>
      </right>
      <top/>
      <bottom style="double">
        <color indexed="64"/>
      </bottom>
      <diagonal/>
    </border>
    <border>
      <left style="medium">
        <color indexed="8"/>
      </left>
      <right/>
      <top style="medium">
        <color indexed="64"/>
      </top>
      <bottom style="double">
        <color indexed="64"/>
      </bottom>
      <diagonal/>
    </border>
    <border>
      <left/>
      <right style="medium">
        <color indexed="8"/>
      </right>
      <top style="medium">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double">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style="medium">
        <color auto="1"/>
      </right>
      <top/>
      <bottom style="medium">
        <color auto="1"/>
      </bottom>
      <diagonal/>
    </border>
    <border>
      <left style="medium">
        <color indexed="64"/>
      </left>
      <right/>
      <top style="double">
        <color indexed="64"/>
      </top>
      <bottom/>
      <diagonal/>
    </border>
    <border>
      <left/>
      <right style="medium">
        <color indexed="64"/>
      </right>
      <top style="double">
        <color indexed="64"/>
      </top>
      <bottom/>
      <diagonal/>
    </border>
    <border>
      <left/>
      <right style="thin">
        <color auto="1"/>
      </right>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8"/>
      </right>
      <top/>
      <bottom/>
      <diagonal/>
    </border>
    <border>
      <left style="medium">
        <color indexed="8"/>
      </left>
      <right style="medium">
        <color indexed="8"/>
      </right>
      <top/>
      <bottom style="double">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diagonal/>
    </border>
    <border>
      <left style="medium">
        <color auto="1"/>
      </left>
      <right style="medium">
        <color indexed="64"/>
      </right>
      <top style="medium">
        <color auto="1"/>
      </top>
      <bottom/>
      <diagonal/>
    </border>
    <border>
      <left style="medium">
        <color indexed="64"/>
      </left>
      <right style="thin">
        <color auto="1"/>
      </right>
      <top/>
      <bottom/>
      <diagonal/>
    </border>
    <border>
      <left style="thin">
        <color auto="1"/>
      </left>
      <right style="medium">
        <color indexed="64"/>
      </right>
      <top style="thin">
        <color auto="1"/>
      </top>
      <bottom/>
      <diagonal/>
    </border>
    <border>
      <left/>
      <right style="medium">
        <color indexed="64"/>
      </right>
      <top style="thin">
        <color auto="1"/>
      </top>
      <bottom style="thin">
        <color auto="1"/>
      </bottom>
      <diagonal/>
    </border>
  </borders>
  <cellStyleXfs count="141">
    <xf numFmtId="0" fontId="0"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6" fillId="0" borderId="0"/>
    <xf numFmtId="9" fontId="14" fillId="0" borderId="0" applyFont="0" applyFill="0" applyBorder="0" applyAlignment="0" applyProtection="0"/>
    <xf numFmtId="0" fontId="15" fillId="2" borderId="1" applyNumberFormat="0" applyAlignment="0" applyProtection="0"/>
    <xf numFmtId="0" fontId="13" fillId="0" borderId="0"/>
    <xf numFmtId="43" fontId="13" fillId="0" borderId="0" applyFont="0" applyFill="0" applyBorder="0" applyAlignment="0" applyProtection="0"/>
    <xf numFmtId="0" fontId="17" fillId="0" borderId="0"/>
    <xf numFmtId="0" fontId="17" fillId="0" borderId="0"/>
    <xf numFmtId="0" fontId="18" fillId="0" borderId="0"/>
    <xf numFmtId="0" fontId="19" fillId="8" borderId="6" applyNumberFormat="0" applyAlignment="0" applyProtection="0"/>
    <xf numFmtId="0" fontId="14" fillId="0" borderId="0"/>
    <xf numFmtId="9" fontId="2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22" fillId="0" borderId="0"/>
    <xf numFmtId="0" fontId="11" fillId="0" borderId="0"/>
    <xf numFmtId="9" fontId="11" fillId="0" borderId="0" applyFont="0" applyFill="0" applyBorder="0" applyAlignment="0" applyProtection="0"/>
    <xf numFmtId="165" fontId="18"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172" fontId="23"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38" fontId="18" fillId="0" borderId="0" applyFont="0" applyFill="0" applyBorder="0" applyAlignment="0" applyProtection="0">
      <alignment vertical="center"/>
    </xf>
    <xf numFmtId="0" fontId="26" fillId="0" borderId="0" applyNumberFormat="0" applyFill="0" applyBorder="0" applyAlignment="0" applyProtection="0">
      <alignment vertical="top"/>
      <protection locked="0"/>
    </xf>
    <xf numFmtId="0" fontId="8" fillId="0" borderId="0"/>
    <xf numFmtId="0" fontId="7" fillId="0" borderId="0"/>
    <xf numFmtId="41" fontId="14" fillId="0" borderId="0" applyFont="0" applyFill="0" applyBorder="0" applyAlignment="0" applyProtection="0"/>
    <xf numFmtId="0" fontId="7" fillId="0" borderId="0"/>
    <xf numFmtId="0" fontId="6" fillId="0" borderId="0"/>
    <xf numFmtId="0" fontId="14" fillId="0" borderId="0"/>
    <xf numFmtId="43"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0" fontId="6" fillId="0" borderId="0"/>
    <xf numFmtId="38" fontId="6" fillId="0" borderId="0" applyFont="0" applyFill="0" applyBorder="0" applyAlignment="0" applyProtection="0">
      <alignment vertical="center"/>
    </xf>
    <xf numFmtId="0" fontId="5" fillId="0" borderId="0"/>
    <xf numFmtId="0" fontId="6" fillId="0" borderId="0"/>
    <xf numFmtId="0" fontId="76" fillId="0" borderId="0" applyNumberFormat="0" applyFill="0" applyBorder="0" applyAlignment="0" applyProtection="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6" fillId="0" borderId="0"/>
    <xf numFmtId="44" fontId="112" fillId="0" borderId="0" applyFont="0" applyFill="0" applyBorder="0" applyAlignment="0" applyProtection="0"/>
    <xf numFmtId="0" fontId="115" fillId="0" borderId="0"/>
    <xf numFmtId="0" fontId="117"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165" fontId="6" fillId="0" borderId="0" applyFont="0" applyFill="0" applyBorder="0" applyAlignment="0" applyProtection="0"/>
    <xf numFmtId="0" fontId="15" fillId="2" borderId="191" applyNumberForma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5"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5" fillId="2" borderId="192" applyNumberFormat="0" applyAlignment="0" applyProtection="0"/>
    <xf numFmtId="0" fontId="1" fillId="0" borderId="0"/>
    <xf numFmtId="165" fontId="1" fillId="0" borderId="0" applyFont="0" applyFill="0" applyBorder="0" applyAlignment="0" applyProtection="0"/>
    <xf numFmtId="165" fontId="14" fillId="0" borderId="0" applyFont="0" applyFill="0" applyBorder="0" applyAlignment="0" applyProtection="0"/>
    <xf numFmtId="0" fontId="6" fillId="0" borderId="0"/>
    <xf numFmtId="0" fontId="15" fillId="2" borderId="192" applyNumberForma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5" fontId="6"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38" fontId="6" fillId="0" borderId="0" applyFont="0" applyFill="0" applyBorder="0" applyAlignment="0" applyProtection="0">
      <alignment vertical="center"/>
    </xf>
    <xf numFmtId="0" fontId="1" fillId="0" borderId="0"/>
    <xf numFmtId="0" fontId="1" fillId="0" borderId="0"/>
    <xf numFmtId="164" fontId="14" fillId="0" borderId="0" applyFont="0" applyFill="0" applyBorder="0" applyAlignment="0" applyProtection="0"/>
    <xf numFmtId="0" fontId="1" fillId="0" borderId="0"/>
    <xf numFmtId="0" fontId="6" fillId="0" borderId="0"/>
    <xf numFmtId="165" fontId="14" fillId="0" borderId="0" applyFont="0" applyFill="0" applyBorder="0" applyAlignment="0" applyProtection="0"/>
    <xf numFmtId="165" fontId="14" fillId="0" borderId="0" applyFont="0" applyFill="0" applyBorder="0" applyAlignment="0" applyProtection="0"/>
    <xf numFmtId="0" fontId="6" fillId="0" borderId="0"/>
    <xf numFmtId="38" fontId="6" fillId="0" borderId="0" applyFont="0" applyFill="0" applyBorder="0" applyAlignment="0" applyProtection="0">
      <alignment vertical="center"/>
    </xf>
    <xf numFmtId="0" fontId="1" fillId="0" borderId="0"/>
    <xf numFmtId="0" fontId="6"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 fillId="0" borderId="0"/>
    <xf numFmtId="44" fontId="14" fillId="0" borderId="0" applyFont="0" applyFill="0" applyBorder="0" applyAlignment="0" applyProtection="0"/>
    <xf numFmtId="165" fontId="1" fillId="0" borderId="0" applyFont="0" applyFill="0" applyBorder="0" applyAlignment="0" applyProtection="0"/>
    <xf numFmtId="165" fontId="14" fillId="0" borderId="0" applyFont="0" applyFill="0" applyBorder="0" applyAlignment="0" applyProtection="0"/>
    <xf numFmtId="0" fontId="15" fillId="2" borderId="192"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5" fillId="2" borderId="192" applyNumberFormat="0" applyAlignment="0" applyProtection="0"/>
    <xf numFmtId="0" fontId="15" fillId="2" borderId="192" applyNumberFormat="0" applyAlignment="0" applyProtection="0"/>
    <xf numFmtId="0" fontId="15" fillId="2" borderId="192" applyNumberFormat="0" applyAlignment="0" applyProtection="0"/>
  </cellStyleXfs>
  <cellXfs count="2662">
    <xf numFmtId="0" fontId="0" fillId="0" borderId="0" xfId="0"/>
    <xf numFmtId="0" fontId="21" fillId="10" borderId="0" xfId="21" applyFont="1" applyFill="1" applyAlignment="1">
      <alignment vertical="center"/>
    </xf>
    <xf numFmtId="0" fontId="21" fillId="0" borderId="0" xfId="21" applyFont="1" applyAlignment="1">
      <alignment vertical="center"/>
    </xf>
    <xf numFmtId="0" fontId="28" fillId="0" borderId="0" xfId="0" applyFont="1"/>
    <xf numFmtId="0" fontId="31" fillId="0" borderId="0" xfId="0" applyFont="1"/>
    <xf numFmtId="0" fontId="32" fillId="0" borderId="0" xfId="0" applyFont="1"/>
    <xf numFmtId="0" fontId="31" fillId="0" borderId="2" xfId="0" applyFont="1" applyBorder="1"/>
    <xf numFmtId="9" fontId="32" fillId="0" borderId="0" xfId="0" applyNumberFormat="1" applyFont="1" applyAlignment="1">
      <alignment horizontal="left"/>
    </xf>
    <xf numFmtId="4" fontId="31" fillId="0" borderId="0" xfId="0" applyNumberFormat="1" applyFont="1" applyAlignment="1">
      <alignment horizontal="center"/>
    </xf>
    <xf numFmtId="4" fontId="31" fillId="0" borderId="2" xfId="0" applyNumberFormat="1" applyFont="1" applyBorder="1" applyAlignment="1">
      <alignment horizontal="center"/>
    </xf>
    <xf numFmtId="0" fontId="32" fillId="0" borderId="0" xfId="0" applyFont="1" applyAlignment="1">
      <alignment horizontal="left"/>
    </xf>
    <xf numFmtId="0" fontId="32" fillId="0" borderId="2" xfId="0" applyFont="1" applyBorder="1"/>
    <xf numFmtId="0" fontId="28" fillId="0" borderId="2" xfId="0" applyFont="1" applyBorder="1" applyAlignment="1">
      <alignment horizontal="right"/>
    </xf>
    <xf numFmtId="0" fontId="34" fillId="0" borderId="0" xfId="0" applyFont="1"/>
    <xf numFmtId="0" fontId="35" fillId="0" borderId="0" xfId="0" applyFont="1"/>
    <xf numFmtId="173" fontId="31" fillId="0" borderId="0" xfId="0" applyNumberFormat="1" applyFont="1"/>
    <xf numFmtId="173" fontId="31" fillId="0" borderId="0" xfId="0" applyNumberFormat="1" applyFont="1" applyAlignment="1">
      <alignment horizontal="right" vertical="center"/>
    </xf>
    <xf numFmtId="0" fontId="31" fillId="0" borderId="0" xfId="0" applyFont="1" applyAlignment="1">
      <alignment horizontal="right"/>
    </xf>
    <xf numFmtId="173" fontId="31" fillId="0" borderId="0" xfId="0" applyNumberFormat="1" applyFont="1" applyAlignment="1">
      <alignment horizontal="right"/>
    </xf>
    <xf numFmtId="0" fontId="31" fillId="0" borderId="2" xfId="0" applyFont="1" applyBorder="1" applyAlignment="1">
      <alignment horizontal="right"/>
    </xf>
    <xf numFmtId="11" fontId="31" fillId="0" borderId="0" xfId="0" applyNumberFormat="1" applyFont="1"/>
    <xf numFmtId="0" fontId="27" fillId="27" borderId="0" xfId="0" applyFont="1" applyFill="1"/>
    <xf numFmtId="0" fontId="28" fillId="27" borderId="0" xfId="0" applyFont="1" applyFill="1"/>
    <xf numFmtId="0" fontId="28" fillId="26" borderId="0" xfId="0" applyFont="1" applyFill="1"/>
    <xf numFmtId="0" fontId="29" fillId="26" borderId="0" xfId="0" applyFont="1" applyFill="1"/>
    <xf numFmtId="0" fontId="27" fillId="7" borderId="16" xfId="0" applyFont="1" applyFill="1" applyBorder="1" applyAlignment="1">
      <alignment horizontal="center" vertical="center"/>
    </xf>
    <xf numFmtId="0" fontId="39" fillId="0" borderId="0" xfId="0" applyFont="1"/>
    <xf numFmtId="0" fontId="40" fillId="6" borderId="27" xfId="0" applyFont="1" applyFill="1" applyBorder="1" applyAlignment="1">
      <alignment horizontal="center"/>
    </xf>
    <xf numFmtId="0" fontId="40" fillId="6" borderId="28" xfId="0" applyFont="1" applyFill="1" applyBorder="1" applyAlignment="1">
      <alignment horizontal="center"/>
    </xf>
    <xf numFmtId="0" fontId="40" fillId="6" borderId="29" xfId="0" applyFont="1" applyFill="1" applyBorder="1" applyAlignment="1">
      <alignment horizontal="center"/>
    </xf>
    <xf numFmtId="0" fontId="40" fillId="6" borderId="30" xfId="0" applyFont="1" applyFill="1" applyBorder="1" applyAlignment="1">
      <alignment horizontal="center"/>
    </xf>
    <xf numFmtId="0" fontId="42" fillId="0" borderId="31" xfId="0" applyFont="1" applyBorder="1" applyAlignment="1">
      <alignment horizontal="center" vertical="center"/>
    </xf>
    <xf numFmtId="0" fontId="42" fillId="0" borderId="32" xfId="0" applyFont="1" applyBorder="1" applyAlignment="1">
      <alignment horizontal="center" vertical="center"/>
    </xf>
    <xf numFmtId="0" fontId="42" fillId="0" borderId="33" xfId="0" applyFont="1" applyBorder="1" applyAlignment="1">
      <alignment horizontal="center" vertical="center"/>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38" xfId="0" applyFont="1" applyBorder="1" applyAlignment="1">
      <alignment horizontal="center" vertical="center"/>
    </xf>
    <xf numFmtId="0" fontId="42" fillId="0" borderId="45" xfId="0" applyFont="1" applyBorder="1"/>
    <xf numFmtId="0" fontId="42" fillId="0" borderId="42" xfId="0" applyFont="1" applyBorder="1"/>
    <xf numFmtId="0" fontId="42" fillId="0" borderId="39" xfId="0" applyFont="1" applyBorder="1"/>
    <xf numFmtId="0" fontId="42" fillId="0" borderId="43" xfId="0" applyFont="1" applyBorder="1"/>
    <xf numFmtId="0" fontId="42" fillId="0" borderId="41" xfId="0" applyFont="1" applyBorder="1"/>
    <xf numFmtId="0" fontId="42" fillId="0" borderId="44" xfId="0" applyFont="1" applyBorder="1"/>
    <xf numFmtId="0" fontId="42" fillId="0" borderId="41" xfId="0" applyFont="1" applyBorder="1" applyAlignment="1">
      <alignment horizontal="left" wrapText="1"/>
    </xf>
    <xf numFmtId="0" fontId="42" fillId="0" borderId="35"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38" xfId="0" applyFont="1" applyBorder="1" applyAlignment="1">
      <alignment horizontal="center" vertical="center" wrapText="1"/>
    </xf>
    <xf numFmtId="0" fontId="43" fillId="0" borderId="38" xfId="0" applyFont="1" applyBorder="1" applyAlignment="1">
      <alignment horizontal="center" vertical="center"/>
    </xf>
    <xf numFmtId="0" fontId="42" fillId="0" borderId="41" xfId="0" applyFont="1" applyBorder="1" applyAlignment="1">
      <alignment horizontal="left" vertical="top"/>
    </xf>
    <xf numFmtId="0" fontId="42" fillId="0" borderId="41" xfId="0" applyFont="1" applyBorder="1" applyAlignment="1">
      <alignment horizontal="left" vertical="top" wrapText="1"/>
    </xf>
    <xf numFmtId="0" fontId="43" fillId="0" borderId="38" xfId="0" applyFont="1" applyBorder="1" applyAlignment="1">
      <alignment horizontal="center" vertical="center" wrapText="1"/>
    </xf>
    <xf numFmtId="0" fontId="35" fillId="0" borderId="48" xfId="0" applyFont="1" applyBorder="1"/>
    <xf numFmtId="0" fontId="42" fillId="0" borderId="49" xfId="0" applyFont="1" applyBorder="1" applyAlignment="1">
      <alignment horizontal="left" vertical="top" wrapText="1"/>
    </xf>
    <xf numFmtId="0" fontId="42" fillId="0" borderId="27"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30" xfId="0" applyFont="1" applyBorder="1" applyAlignment="1">
      <alignment horizontal="center" vertical="center" wrapText="1"/>
    </xf>
    <xf numFmtId="0" fontId="40" fillId="6" borderId="50" xfId="0" applyFont="1" applyFill="1" applyBorder="1" applyAlignment="1">
      <alignment horizontal="center"/>
    </xf>
    <xf numFmtId="0" fontId="42" fillId="0" borderId="22" xfId="0" applyFont="1" applyBorder="1" applyAlignment="1">
      <alignment vertical="top" wrapText="1"/>
    </xf>
    <xf numFmtId="0" fontId="42" fillId="0" borderId="23" xfId="0" applyFont="1" applyBorder="1" applyAlignment="1">
      <alignment vertical="top" wrapText="1"/>
    </xf>
    <xf numFmtId="0" fontId="40" fillId="6" borderId="51" xfId="0" applyFont="1" applyFill="1" applyBorder="1" applyAlignment="1">
      <alignment horizontal="center"/>
    </xf>
    <xf numFmtId="0" fontId="40" fillId="6" borderId="52" xfId="0" applyFont="1" applyFill="1" applyBorder="1" applyAlignment="1">
      <alignment horizontal="center"/>
    </xf>
    <xf numFmtId="0" fontId="40" fillId="6" borderId="53" xfId="0" applyFont="1" applyFill="1" applyBorder="1" applyAlignment="1">
      <alignment horizontal="center"/>
    </xf>
    <xf numFmtId="1" fontId="42" fillId="0" borderId="46" xfId="0" applyNumberFormat="1" applyFont="1" applyBorder="1" applyAlignment="1">
      <alignment horizontal="center"/>
    </xf>
    <xf numFmtId="1" fontId="42" fillId="0" borderId="54" xfId="0" applyNumberFormat="1" applyFont="1" applyBorder="1" applyAlignment="1">
      <alignment horizontal="center"/>
    </xf>
    <xf numFmtId="0" fontId="42" fillId="0" borderId="46" xfId="0" applyFont="1" applyBorder="1" applyAlignment="1">
      <alignment horizontal="center"/>
    </xf>
    <xf numFmtId="49" fontId="42" fillId="0" borderId="46" xfId="0" applyNumberFormat="1" applyFont="1" applyBorder="1" applyAlignment="1">
      <alignment horizontal="center"/>
    </xf>
    <xf numFmtId="0" fontId="42" fillId="0" borderId="54" xfId="0" applyFont="1" applyBorder="1" applyAlignment="1">
      <alignment horizontal="center"/>
    </xf>
    <xf numFmtId="0" fontId="42" fillId="0" borderId="58" xfId="0" applyFont="1" applyBorder="1"/>
    <xf numFmtId="0" fontId="42" fillId="0" borderId="56" xfId="0" applyFont="1" applyBorder="1"/>
    <xf numFmtId="0" fontId="42" fillId="0" borderId="55" xfId="0" applyFont="1" applyBorder="1"/>
    <xf numFmtId="0" fontId="42" fillId="0" borderId="55" xfId="0" applyFont="1" applyBorder="1" applyAlignment="1">
      <alignment horizontal="left" wrapText="1"/>
    </xf>
    <xf numFmtId="49" fontId="42" fillId="0" borderId="46" xfId="0" applyNumberFormat="1" applyFont="1" applyBorder="1" applyAlignment="1">
      <alignment horizontal="center" vertical="center"/>
    </xf>
    <xf numFmtId="1" fontId="42" fillId="0" borderId="54" xfId="0" applyNumberFormat="1" applyFont="1" applyBorder="1" applyAlignment="1">
      <alignment horizontal="center" vertical="center"/>
    </xf>
    <xf numFmtId="1" fontId="42" fillId="0" borderId="46" xfId="0" applyNumberFormat="1" applyFont="1" applyBorder="1" applyAlignment="1">
      <alignment horizontal="center" vertical="center"/>
    </xf>
    <xf numFmtId="0" fontId="42" fillId="0" borderId="46" xfId="0" applyFont="1" applyBorder="1" applyAlignment="1">
      <alignment horizontal="center" vertical="center"/>
    </xf>
    <xf numFmtId="0" fontId="42" fillId="0" borderId="55" xfId="0" applyFont="1" applyBorder="1" applyAlignment="1">
      <alignment horizontal="left" vertical="top"/>
    </xf>
    <xf numFmtId="0" fontId="42" fillId="0" borderId="59" xfId="0" applyFont="1" applyBorder="1" applyAlignment="1">
      <alignment horizontal="left" vertical="top" wrapText="1"/>
    </xf>
    <xf numFmtId="1" fontId="42" fillId="0" borderId="48" xfId="0" applyNumberFormat="1" applyFont="1" applyBorder="1" applyAlignment="1">
      <alignment horizontal="center"/>
    </xf>
    <xf numFmtId="0" fontId="40" fillId="27" borderId="0" xfId="0" applyFont="1" applyFill="1"/>
    <xf numFmtId="0" fontId="44" fillId="27" borderId="0" xfId="0" applyFont="1" applyFill="1"/>
    <xf numFmtId="0" fontId="37" fillId="26" borderId="0" xfId="0" applyFont="1" applyFill="1"/>
    <xf numFmtId="0" fontId="35" fillId="26" borderId="0" xfId="0" applyFont="1" applyFill="1"/>
    <xf numFmtId="2" fontId="0" fillId="0" borderId="0" xfId="0" applyNumberFormat="1"/>
    <xf numFmtId="0" fontId="45" fillId="0" borderId="65" xfId="0" applyFont="1" applyBorder="1" applyAlignment="1">
      <alignment horizontal="center" wrapText="1"/>
    </xf>
    <xf numFmtId="0" fontId="49" fillId="0" borderId="65" xfId="0" applyFont="1" applyBorder="1" applyAlignment="1">
      <alignment horizontal="center"/>
    </xf>
    <xf numFmtId="0" fontId="47" fillId="0" borderId="19" xfId="0" applyFont="1" applyBorder="1" applyAlignment="1">
      <alignment horizontal="left" wrapText="1"/>
    </xf>
    <xf numFmtId="0" fontId="56" fillId="10" borderId="0" xfId="21" applyFont="1" applyFill="1" applyAlignment="1">
      <alignment vertical="center"/>
    </xf>
    <xf numFmtId="11" fontId="56" fillId="10" borderId="0" xfId="21" applyNumberFormat="1" applyFont="1" applyFill="1" applyAlignment="1">
      <alignment vertical="center"/>
    </xf>
    <xf numFmtId="0" fontId="56" fillId="38" borderId="69" xfId="21" applyFont="1" applyFill="1" applyBorder="1" applyAlignment="1">
      <alignment vertical="center"/>
    </xf>
    <xf numFmtId="0" fontId="56" fillId="38" borderId="69" xfId="21" applyFont="1" applyFill="1" applyBorder="1" applyAlignment="1">
      <alignment vertical="center" wrapText="1"/>
    </xf>
    <xf numFmtId="0" fontId="56" fillId="10" borderId="69" xfId="21" applyFont="1" applyFill="1" applyBorder="1" applyAlignment="1">
      <alignment vertical="center" wrapText="1"/>
    </xf>
    <xf numFmtId="0" fontId="56" fillId="10" borderId="69" xfId="21" applyFont="1" applyFill="1" applyBorder="1" applyAlignment="1">
      <alignment vertical="center"/>
    </xf>
    <xf numFmtId="0" fontId="56" fillId="10" borderId="69" xfId="21" applyFont="1" applyFill="1" applyBorder="1" applyAlignment="1">
      <alignment horizontal="center" vertical="center"/>
    </xf>
    <xf numFmtId="11" fontId="56" fillId="10" borderId="69" xfId="21" applyNumberFormat="1" applyFont="1" applyFill="1" applyBorder="1" applyAlignment="1">
      <alignment horizontal="center" vertical="center"/>
    </xf>
    <xf numFmtId="0" fontId="56" fillId="10" borderId="69" xfId="21" quotePrefix="1" applyFont="1" applyFill="1" applyBorder="1" applyAlignment="1">
      <alignment horizontal="center" vertical="center"/>
    </xf>
    <xf numFmtId="0" fontId="63" fillId="0" borderId="0" xfId="0" applyFont="1"/>
    <xf numFmtId="0" fontId="64" fillId="26" borderId="0" xfId="0" applyFont="1" applyFill="1" applyAlignment="1">
      <alignment horizontal="center"/>
    </xf>
    <xf numFmtId="0" fontId="64" fillId="29" borderId="0" xfId="0" applyFont="1" applyFill="1" applyAlignment="1">
      <alignment horizontal="center"/>
    </xf>
    <xf numFmtId="0" fontId="64" fillId="16" borderId="0" xfId="0" applyFont="1" applyFill="1" applyAlignment="1">
      <alignment horizontal="center"/>
    </xf>
    <xf numFmtId="0" fontId="63" fillId="0" borderId="0" xfId="0" applyFont="1" applyAlignment="1">
      <alignment horizontal="center" vertical="center"/>
    </xf>
    <xf numFmtId="0" fontId="63" fillId="0" borderId="0" xfId="0" applyFont="1" applyAlignment="1">
      <alignment horizontal="center"/>
    </xf>
    <xf numFmtId="167" fontId="63" fillId="0" borderId="0" xfId="0" applyNumberFormat="1" applyFont="1"/>
    <xf numFmtId="11" fontId="63" fillId="0" borderId="0" xfId="0" applyNumberFormat="1" applyFont="1"/>
    <xf numFmtId="167" fontId="67" fillId="0" borderId="0" xfId="0" applyNumberFormat="1" applyFont="1"/>
    <xf numFmtId="2" fontId="63" fillId="0" borderId="0" xfId="0" applyNumberFormat="1" applyFont="1"/>
    <xf numFmtId="4" fontId="63" fillId="0" borderId="0" xfId="0" applyNumberFormat="1" applyFont="1"/>
    <xf numFmtId="0" fontId="62" fillId="0" borderId="0" xfId="0" applyFont="1" applyAlignment="1">
      <alignment horizontal="center"/>
    </xf>
    <xf numFmtId="0" fontId="63" fillId="20" borderId="0" xfId="0" applyFont="1" applyFill="1"/>
    <xf numFmtId="0" fontId="64" fillId="20" borderId="0" xfId="0" applyFont="1" applyFill="1"/>
    <xf numFmtId="0" fontId="64" fillId="0" borderId="0" xfId="0" applyFont="1"/>
    <xf numFmtId="0" fontId="63" fillId="0" borderId="0" xfId="0" applyFont="1" applyAlignment="1">
      <alignment vertical="center"/>
    </xf>
    <xf numFmtId="0" fontId="64" fillId="0" borderId="0" xfId="0" applyFont="1" applyAlignment="1">
      <alignment horizontal="right" vertical="center"/>
    </xf>
    <xf numFmtId="0" fontId="61" fillId="27" borderId="0" xfId="0" applyFont="1" applyFill="1"/>
    <xf numFmtId="0" fontId="62" fillId="0" borderId="0" xfId="0" applyFont="1"/>
    <xf numFmtId="3" fontId="62" fillId="0" borderId="0" xfId="0" applyNumberFormat="1" applyFont="1"/>
    <xf numFmtId="0" fontId="61" fillId="6" borderId="69" xfId="0" applyFont="1" applyFill="1" applyBorder="1" applyAlignment="1">
      <alignment horizontal="center"/>
    </xf>
    <xf numFmtId="0" fontId="72" fillId="6" borderId="0" xfId="0" applyFont="1" applyFill="1"/>
    <xf numFmtId="0" fontId="62" fillId="26" borderId="0" xfId="0" applyFont="1" applyFill="1"/>
    <xf numFmtId="0" fontId="61" fillId="25" borderId="0" xfId="24" applyFont="1" applyFill="1"/>
    <xf numFmtId="0" fontId="62" fillId="25" borderId="0" xfId="24" applyFont="1" applyFill="1"/>
    <xf numFmtId="0" fontId="67" fillId="0" borderId="0" xfId="0" applyFont="1"/>
    <xf numFmtId="0" fontId="63" fillId="0" borderId="0" xfId="0" applyFont="1" applyAlignment="1">
      <alignment horizontal="right"/>
    </xf>
    <xf numFmtId="0" fontId="72" fillId="0" borderId="0" xfId="0" applyFont="1"/>
    <xf numFmtId="0" fontId="64" fillId="26" borderId="0" xfId="0" applyFont="1" applyFill="1" applyAlignment="1">
      <alignment horizontal="center" vertical="center"/>
    </xf>
    <xf numFmtId="0" fontId="63" fillId="0" borderId="0" xfId="44" applyFont="1"/>
    <xf numFmtId="0" fontId="64" fillId="0" borderId="0" xfId="44" applyFont="1" applyAlignment="1">
      <alignment vertical="center"/>
    </xf>
    <xf numFmtId="0" fontId="63" fillId="0" borderId="81" xfId="44" applyFont="1" applyBorder="1"/>
    <xf numFmtId="168" fontId="63" fillId="0" borderId="81" xfId="44" applyNumberFormat="1" applyFont="1" applyBorder="1"/>
    <xf numFmtId="0" fontId="63" fillId="0" borderId="82" xfId="44" applyFont="1" applyBorder="1"/>
    <xf numFmtId="0" fontId="63" fillId="10" borderId="69" xfId="44" applyFont="1" applyFill="1" applyBorder="1" applyProtection="1">
      <protection locked="0"/>
    </xf>
    <xf numFmtId="0" fontId="63" fillId="0" borderId="83" xfId="44" applyFont="1" applyBorder="1"/>
    <xf numFmtId="0" fontId="63" fillId="0" borderId="84" xfId="44" applyFont="1" applyBorder="1"/>
    <xf numFmtId="168" fontId="63" fillId="10" borderId="69" xfId="44" applyNumberFormat="1" applyFont="1" applyFill="1" applyBorder="1" applyProtection="1">
      <protection locked="0"/>
    </xf>
    <xf numFmtId="38" fontId="63" fillId="10" borderId="69" xfId="45" applyFont="1" applyFill="1" applyBorder="1" applyAlignment="1" applyProtection="1">
      <protection locked="0"/>
    </xf>
    <xf numFmtId="168" fontId="63" fillId="0" borderId="83" xfId="44" applyNumberFormat="1" applyFont="1" applyBorder="1"/>
    <xf numFmtId="1" fontId="63" fillId="0" borderId="83" xfId="44" applyNumberFormat="1" applyFont="1" applyBorder="1"/>
    <xf numFmtId="0" fontId="63" fillId="0" borderId="85" xfId="44" applyFont="1" applyBorder="1"/>
    <xf numFmtId="0" fontId="63" fillId="0" borderId="86" xfId="44" applyFont="1" applyBorder="1"/>
    <xf numFmtId="0" fontId="63" fillId="0" borderId="0" xfId="44" applyFont="1" applyAlignment="1">
      <alignment wrapText="1"/>
    </xf>
    <xf numFmtId="0" fontId="63" fillId="0" borderId="69" xfId="44" applyFont="1" applyBorder="1" applyProtection="1">
      <protection locked="0"/>
    </xf>
    <xf numFmtId="168" fontId="63" fillId="0" borderId="69" xfId="44" applyNumberFormat="1" applyFont="1" applyBorder="1" applyProtection="1">
      <protection locked="0"/>
    </xf>
    <xf numFmtId="38" fontId="63" fillId="0" borderId="69" xfId="45" applyFont="1" applyBorder="1" applyAlignment="1" applyProtection="1">
      <protection locked="0"/>
    </xf>
    <xf numFmtId="0" fontId="64" fillId="10" borderId="69" xfId="44" applyFont="1" applyFill="1" applyBorder="1" applyProtection="1">
      <protection locked="0"/>
    </xf>
    <xf numFmtId="2" fontId="64" fillId="0" borderId="69" xfId="44" applyNumberFormat="1" applyFont="1" applyBorder="1"/>
    <xf numFmtId="0" fontId="63" fillId="0" borderId="0" xfId="44" applyFont="1" applyAlignment="1">
      <alignment horizontal="right"/>
    </xf>
    <xf numFmtId="0" fontId="63" fillId="0" borderId="0" xfId="44" applyFont="1" applyAlignment="1">
      <alignment horizontal="center"/>
    </xf>
    <xf numFmtId="0" fontId="62" fillId="10" borderId="0" xfId="44" applyFont="1" applyFill="1"/>
    <xf numFmtId="0" fontId="62" fillId="10" borderId="2" xfId="44" applyFont="1" applyFill="1" applyBorder="1"/>
    <xf numFmtId="0" fontId="62" fillId="10" borderId="71" xfId="44" applyFont="1" applyFill="1" applyBorder="1"/>
    <xf numFmtId="2" fontId="62" fillId="10" borderId="0" xfId="44" applyNumberFormat="1" applyFont="1" applyFill="1"/>
    <xf numFmtId="0" fontId="70" fillId="10" borderId="71" xfId="3" applyFont="1" applyFill="1" applyBorder="1"/>
    <xf numFmtId="0" fontId="62" fillId="10" borderId="0" xfId="3" applyFont="1" applyFill="1"/>
    <xf numFmtId="0" fontId="62" fillId="10" borderId="71" xfId="3" applyFont="1" applyFill="1" applyBorder="1"/>
    <xf numFmtId="0" fontId="70" fillId="10" borderId="0" xfId="3" applyFont="1" applyFill="1"/>
    <xf numFmtId="0" fontId="62" fillId="10" borderId="63" xfId="44" applyFont="1" applyFill="1" applyBorder="1"/>
    <xf numFmtId="0" fontId="62" fillId="10" borderId="62" xfId="44" applyFont="1" applyFill="1" applyBorder="1"/>
    <xf numFmtId="0" fontId="62" fillId="10" borderId="61" xfId="44" applyFont="1" applyFill="1" applyBorder="1"/>
    <xf numFmtId="9" fontId="62" fillId="10" borderId="0" xfId="7" applyFont="1" applyFill="1"/>
    <xf numFmtId="0" fontId="62" fillId="0" borderId="0" xfId="46" applyFont="1"/>
    <xf numFmtId="0" fontId="70" fillId="0" borderId="0" xfId="3" applyFont="1"/>
    <xf numFmtId="0" fontId="62" fillId="0" borderId="0" xfId="3" applyFont="1"/>
    <xf numFmtId="0" fontId="62" fillId="0" borderId="69" xfId="3" applyFont="1" applyBorder="1"/>
    <xf numFmtId="3" fontId="62" fillId="0" borderId="0" xfId="3" applyNumberFormat="1" applyFont="1"/>
    <xf numFmtId="0" fontId="64" fillId="0" borderId="0" xfId="3" applyFont="1"/>
    <xf numFmtId="0" fontId="74" fillId="0" borderId="0" xfId="3" applyFont="1"/>
    <xf numFmtId="0" fontId="62" fillId="0" borderId="69" xfId="46" applyFont="1" applyBorder="1"/>
    <xf numFmtId="0" fontId="63" fillId="0" borderId="0" xfId="46" applyFont="1"/>
    <xf numFmtId="0" fontId="63" fillId="0" borderId="0" xfId="3" applyFont="1"/>
    <xf numFmtId="3" fontId="62" fillId="0" borderId="0" xfId="46" applyNumberFormat="1" applyFont="1"/>
    <xf numFmtId="3" fontId="62" fillId="0" borderId="0" xfId="3" applyNumberFormat="1" applyFont="1" applyAlignment="1">
      <alignment horizontal="center" vertical="center"/>
    </xf>
    <xf numFmtId="41" fontId="62" fillId="0" borderId="0" xfId="37" applyFont="1"/>
    <xf numFmtId="170" fontId="62" fillId="0" borderId="0" xfId="3" applyNumberFormat="1" applyFont="1"/>
    <xf numFmtId="0" fontId="70" fillId="0" borderId="0" xfId="46" applyFont="1"/>
    <xf numFmtId="0" fontId="63" fillId="10" borderId="0" xfId="44" applyFont="1" applyFill="1" applyProtection="1">
      <protection locked="0"/>
    </xf>
    <xf numFmtId="168" fontId="63" fillId="10" borderId="0" xfId="44" applyNumberFormat="1" applyFont="1" applyFill="1" applyProtection="1">
      <protection locked="0"/>
    </xf>
    <xf numFmtId="38" fontId="63" fillId="10" borderId="0" xfId="45" applyFont="1" applyFill="1" applyBorder="1" applyAlignment="1" applyProtection="1">
      <protection locked="0"/>
    </xf>
    <xf numFmtId="0" fontId="63" fillId="0" borderId="0" xfId="0" applyFont="1" applyAlignment="1">
      <alignment wrapText="1"/>
    </xf>
    <xf numFmtId="1" fontId="42" fillId="9" borderId="46" xfId="0" applyNumberFormat="1" applyFont="1" applyFill="1" applyBorder="1" applyAlignment="1">
      <alignment horizontal="center"/>
    </xf>
    <xf numFmtId="1" fontId="42" fillId="9" borderId="54" xfId="0" applyNumberFormat="1" applyFont="1" applyFill="1" applyBorder="1" applyAlignment="1">
      <alignment horizontal="center"/>
    </xf>
    <xf numFmtId="0" fontId="42" fillId="9" borderId="46" xfId="0" applyFont="1" applyFill="1" applyBorder="1" applyAlignment="1">
      <alignment horizontal="center"/>
    </xf>
    <xf numFmtId="0" fontId="42" fillId="9" borderId="54" xfId="0" applyFont="1" applyFill="1" applyBorder="1" applyAlignment="1">
      <alignment horizontal="center"/>
    </xf>
    <xf numFmtId="0" fontId="42" fillId="0" borderId="55" xfId="0" applyFont="1" applyBorder="1" applyAlignment="1">
      <alignment horizontal="left" vertical="center" wrapText="1"/>
    </xf>
    <xf numFmtId="0" fontId="42" fillId="0" borderId="55" xfId="0" applyFont="1" applyBorder="1" applyAlignment="1">
      <alignment horizontal="left" vertical="top" wrapText="1"/>
    </xf>
    <xf numFmtId="11" fontId="63" fillId="0" borderId="0" xfId="0" applyNumberFormat="1" applyFont="1" applyAlignment="1">
      <alignment wrapText="1"/>
    </xf>
    <xf numFmtId="0" fontId="71" fillId="18" borderId="71" xfId="0" applyFont="1" applyFill="1" applyBorder="1"/>
    <xf numFmtId="0" fontId="71" fillId="18" borderId="0" xfId="13" applyFont="1" applyFill="1"/>
    <xf numFmtId="0" fontId="71" fillId="18" borderId="0" xfId="0" applyFont="1" applyFill="1"/>
    <xf numFmtId="0" fontId="71" fillId="18" borderId="2" xfId="13" applyFont="1" applyFill="1" applyBorder="1"/>
    <xf numFmtId="0" fontId="78" fillId="18" borderId="71" xfId="0" applyFont="1" applyFill="1" applyBorder="1"/>
    <xf numFmtId="0" fontId="78" fillId="18" borderId="0" xfId="13" applyFont="1" applyFill="1"/>
    <xf numFmtId="0" fontId="78" fillId="18" borderId="0" xfId="0" applyFont="1" applyFill="1"/>
    <xf numFmtId="0" fontId="71" fillId="18" borderId="71" xfId="13" applyFont="1" applyFill="1" applyBorder="1"/>
    <xf numFmtId="0" fontId="78" fillId="18" borderId="71" xfId="13" applyFont="1" applyFill="1" applyBorder="1"/>
    <xf numFmtId="0" fontId="71" fillId="18" borderId="63" xfId="13" applyFont="1" applyFill="1" applyBorder="1"/>
    <xf numFmtId="0" fontId="71" fillId="18" borderId="62" xfId="13" applyFont="1" applyFill="1" applyBorder="1"/>
    <xf numFmtId="0" fontId="71" fillId="18" borderId="61" xfId="13" applyFont="1" applyFill="1" applyBorder="1"/>
    <xf numFmtId="4" fontId="78" fillId="18" borderId="0" xfId="0" applyNumberFormat="1" applyFont="1" applyFill="1" applyAlignment="1">
      <alignment horizontal="right" vertical="center"/>
    </xf>
    <xf numFmtId="4" fontId="71" fillId="18" borderId="0" xfId="0" applyNumberFormat="1" applyFont="1" applyFill="1" applyAlignment="1">
      <alignment horizontal="right" vertical="center"/>
    </xf>
    <xf numFmtId="4" fontId="71" fillId="18" borderId="0" xfId="37" applyNumberFormat="1" applyFont="1" applyFill="1" applyAlignment="1">
      <alignment horizontal="right" vertical="center"/>
    </xf>
    <xf numFmtId="4" fontId="74" fillId="18" borderId="19" xfId="37" applyNumberFormat="1" applyFont="1" applyFill="1" applyBorder="1" applyAlignment="1">
      <alignment horizontal="right" vertical="center"/>
    </xf>
    <xf numFmtId="4" fontId="71" fillId="18" borderId="0" xfId="13" applyNumberFormat="1" applyFont="1" applyFill="1" applyAlignment="1">
      <alignment horizontal="right" vertical="center"/>
    </xf>
    <xf numFmtId="0" fontId="62" fillId="0" borderId="0" xfId="24" applyFont="1"/>
    <xf numFmtId="4" fontId="74" fillId="10" borderId="19" xfId="37" applyNumberFormat="1" applyFont="1" applyFill="1" applyBorder="1"/>
    <xf numFmtId="4" fontId="62" fillId="10" borderId="0" xfId="37" applyNumberFormat="1" applyFont="1" applyFill="1"/>
    <xf numFmtId="4" fontId="62" fillId="10" borderId="62" xfId="44" applyNumberFormat="1" applyFont="1" applyFill="1" applyBorder="1"/>
    <xf numFmtId="0" fontId="61" fillId="0" borderId="0" xfId="44" applyFont="1" applyAlignment="1">
      <alignment horizontal="left"/>
    </xf>
    <xf numFmtId="0" fontId="63" fillId="0" borderId="0" xfId="44" applyFont="1" applyAlignment="1">
      <alignment horizontal="left"/>
    </xf>
    <xf numFmtId="0" fontId="61" fillId="6" borderId="69" xfId="3" applyFont="1" applyFill="1" applyBorder="1"/>
    <xf numFmtId="0" fontId="61" fillId="6" borderId="69" xfId="3" applyFont="1" applyFill="1" applyBorder="1" applyAlignment="1">
      <alignment horizontal="center"/>
    </xf>
    <xf numFmtId="0" fontId="61" fillId="6" borderId="0" xfId="3" applyFont="1" applyFill="1" applyAlignment="1">
      <alignment horizontal="center"/>
    </xf>
    <xf numFmtId="0" fontId="72" fillId="27" borderId="0" xfId="0" applyFont="1" applyFill="1"/>
    <xf numFmtId="0" fontId="62" fillId="27" borderId="0" xfId="26" applyFont="1" applyFill="1"/>
    <xf numFmtId="0" fontId="61" fillId="27" borderId="0" xfId="26" applyFont="1" applyFill="1"/>
    <xf numFmtId="0" fontId="62" fillId="0" borderId="0" xfId="26" applyFont="1"/>
    <xf numFmtId="0" fontId="64" fillId="26" borderId="0" xfId="0" applyFont="1" applyFill="1"/>
    <xf numFmtId="0" fontId="62" fillId="26" borderId="0" xfId="26" applyFont="1" applyFill="1"/>
    <xf numFmtId="0" fontId="70" fillId="0" borderId="0" xfId="0" applyFont="1"/>
    <xf numFmtId="0" fontId="70" fillId="0" borderId="0" xfId="26" applyFont="1"/>
    <xf numFmtId="0" fontId="77" fillId="0" borderId="0" xfId="34" applyFont="1" applyAlignment="1" applyProtection="1"/>
    <xf numFmtId="0" fontId="61" fillId="6" borderId="27" xfId="0" applyFont="1" applyFill="1" applyBorder="1" applyAlignment="1">
      <alignment horizontal="center"/>
    </xf>
    <xf numFmtId="0" fontId="61" fillId="6" borderId="28" xfId="0" applyFont="1" applyFill="1" applyBorder="1" applyAlignment="1">
      <alignment horizontal="center"/>
    </xf>
    <xf numFmtId="0" fontId="61" fillId="6" borderId="29" xfId="0" applyFont="1" applyFill="1" applyBorder="1" applyAlignment="1">
      <alignment horizontal="center"/>
    </xf>
    <xf numFmtId="0" fontId="71" fillId="16" borderId="32" xfId="0" applyFont="1" applyFill="1" applyBorder="1" applyAlignment="1">
      <alignment horizontal="center" vertical="center"/>
    </xf>
    <xf numFmtId="0" fontId="71" fillId="0" borderId="32" xfId="0" applyFont="1" applyBorder="1" applyAlignment="1">
      <alignment horizontal="center" vertical="center"/>
    </xf>
    <xf numFmtId="0" fontId="71" fillId="0" borderId="33" xfId="0" applyFont="1" applyBorder="1" applyAlignment="1">
      <alignment horizontal="center" vertical="center"/>
    </xf>
    <xf numFmtId="0" fontId="71" fillId="16" borderId="38" xfId="0" applyFont="1" applyFill="1" applyBorder="1" applyAlignment="1">
      <alignment horizontal="center" vertical="center"/>
    </xf>
    <xf numFmtId="0" fontId="71" fillId="0" borderId="36" xfId="0" applyFont="1" applyBorder="1" applyAlignment="1">
      <alignment horizontal="center" vertical="center"/>
    </xf>
    <xf numFmtId="0" fontId="71" fillId="0" borderId="37" xfId="0" applyFont="1" applyBorder="1" applyAlignment="1">
      <alignment horizontal="center" vertical="center"/>
    </xf>
    <xf numFmtId="0" fontId="68" fillId="0" borderId="0" xfId="26" applyFont="1"/>
    <xf numFmtId="0" fontId="71" fillId="0" borderId="38" xfId="0" applyFont="1" applyBorder="1" applyAlignment="1">
      <alignment horizontal="center" vertical="center"/>
    </xf>
    <xf numFmtId="0" fontId="62" fillId="0" borderId="61" xfId="26" applyFont="1" applyBorder="1" applyAlignment="1">
      <alignment horizontal="left"/>
    </xf>
    <xf numFmtId="0" fontId="62" fillId="0" borderId="76" xfId="26" applyFont="1" applyBorder="1" applyAlignment="1">
      <alignment horizontal="left"/>
    </xf>
    <xf numFmtId="0" fontId="62" fillId="0" borderId="0" xfId="26" applyFont="1" applyAlignment="1">
      <alignment horizontal="left" vertical="center"/>
    </xf>
    <xf numFmtId="0" fontId="61" fillId="6" borderId="50" xfId="0" applyFont="1" applyFill="1" applyBorder="1" applyAlignment="1">
      <alignment horizontal="center"/>
    </xf>
    <xf numFmtId="0" fontId="71" fillId="16" borderId="34" xfId="0" applyFont="1" applyFill="1" applyBorder="1" applyAlignment="1">
      <alignment horizontal="center" vertical="center"/>
    </xf>
    <xf numFmtId="0" fontId="71" fillId="10" borderId="35" xfId="0" applyFont="1" applyFill="1" applyBorder="1" applyAlignment="1">
      <alignment horizontal="center" vertical="center"/>
    </xf>
    <xf numFmtId="0" fontId="71" fillId="16" borderId="35" xfId="0" applyFont="1" applyFill="1" applyBorder="1" applyAlignment="1">
      <alignment horizontal="center" vertical="center"/>
    </xf>
    <xf numFmtId="0" fontId="71" fillId="0" borderId="35" xfId="0" applyFont="1" applyBorder="1" applyAlignment="1">
      <alignment horizontal="center" vertical="center"/>
    </xf>
    <xf numFmtId="0" fontId="61" fillId="5" borderId="77" xfId="39" applyFont="1" applyFill="1" applyBorder="1" applyAlignment="1">
      <alignment horizontal="center"/>
    </xf>
    <xf numFmtId="0" fontId="62" fillId="0" borderId="20" xfId="39" applyFont="1" applyBorder="1" applyAlignment="1">
      <alignment horizontal="center"/>
    </xf>
    <xf numFmtId="0" fontId="62" fillId="0" borderId="8" xfId="39" applyFont="1" applyBorder="1" applyAlignment="1">
      <alignment horizontal="center"/>
    </xf>
    <xf numFmtId="0" fontId="62" fillId="0" borderId="70" xfId="39" applyFont="1" applyBorder="1" applyAlignment="1">
      <alignment horizontal="center"/>
    </xf>
    <xf numFmtId="0" fontId="62" fillId="0" borderId="3" xfId="39" applyFont="1" applyBorder="1" applyAlignment="1">
      <alignment horizontal="center"/>
    </xf>
    <xf numFmtId="0" fontId="62" fillId="0" borderId="21" xfId="39" applyFont="1" applyBorder="1" applyAlignment="1">
      <alignment horizontal="center"/>
    </xf>
    <xf numFmtId="0" fontId="71" fillId="0" borderId="74" xfId="0" applyFont="1" applyBorder="1"/>
    <xf numFmtId="0" fontId="71" fillId="0" borderId="79" xfId="0" applyFont="1" applyBorder="1"/>
    <xf numFmtId="0" fontId="71" fillId="0" borderId="76" xfId="0" applyFont="1" applyBorder="1"/>
    <xf numFmtId="0" fontId="87" fillId="0" borderId="0" xfId="26" applyFont="1"/>
    <xf numFmtId="0" fontId="71" fillId="0" borderId="74" xfId="0" applyFont="1" applyBorder="1" applyAlignment="1">
      <alignment vertical="top" wrapText="1"/>
    </xf>
    <xf numFmtId="0" fontId="71" fillId="0" borderId="76" xfId="0" applyFont="1" applyBorder="1" applyAlignment="1">
      <alignment vertical="top"/>
    </xf>
    <xf numFmtId="0" fontId="70" fillId="33" borderId="0" xfId="26" applyFont="1" applyFill="1" applyAlignment="1">
      <alignment horizontal="center"/>
    </xf>
    <xf numFmtId="0" fontId="71" fillId="0" borderId="76" xfId="0" applyFont="1" applyBorder="1" applyAlignment="1">
      <alignment wrapText="1"/>
    </xf>
    <xf numFmtId="0" fontId="63" fillId="0" borderId="69" xfId="0" applyFont="1" applyBorder="1"/>
    <xf numFmtId="49" fontId="63" fillId="0" borderId="62" xfId="0" applyNumberFormat="1" applyFont="1" applyBorder="1" applyAlignment="1">
      <alignment horizontal="center" vertical="center"/>
    </xf>
    <xf numFmtId="49" fontId="63" fillId="0" borderId="61" xfId="0" applyNumberFormat="1" applyFont="1" applyBorder="1" applyAlignment="1">
      <alignment horizontal="center" vertical="center"/>
    </xf>
    <xf numFmtId="0" fontId="62" fillId="0" borderId="0" xfId="26" applyFont="1" applyAlignment="1">
      <alignment horizontal="left"/>
    </xf>
    <xf numFmtId="0" fontId="62" fillId="0" borderId="62" xfId="26" applyFont="1" applyBorder="1"/>
    <xf numFmtId="0" fontId="62" fillId="0" borderId="0" xfId="26" applyFont="1" applyAlignment="1">
      <alignment vertical="center"/>
    </xf>
    <xf numFmtId="0" fontId="62" fillId="0" borderId="62" xfId="26" applyFont="1" applyBorder="1" applyAlignment="1">
      <alignment vertical="center"/>
    </xf>
    <xf numFmtId="0" fontId="62" fillId="10" borderId="0" xfId="20" applyFont="1" applyFill="1"/>
    <xf numFmtId="0" fontId="62" fillId="10" borderId="0" xfId="20" applyFont="1" applyFill="1" applyAlignment="1">
      <alignment wrapText="1"/>
    </xf>
    <xf numFmtId="0" fontId="62" fillId="10" borderId="0" xfId="20" applyFont="1" applyFill="1" applyAlignment="1">
      <alignment horizontal="center"/>
    </xf>
    <xf numFmtId="0" fontId="70" fillId="10" borderId="0" xfId="20" applyFont="1" applyFill="1"/>
    <xf numFmtId="0" fontId="80" fillId="4" borderId="7" xfId="20" applyFont="1" applyFill="1" applyBorder="1" applyAlignment="1">
      <alignment vertical="center" wrapText="1"/>
    </xf>
    <xf numFmtId="0" fontId="62" fillId="0" borderId="0" xfId="20" applyFont="1"/>
    <xf numFmtId="0" fontId="63" fillId="10" borderId="0" xfId="20" applyFont="1" applyFill="1"/>
    <xf numFmtId="0" fontId="71" fillId="10" borderId="8" xfId="20" applyFont="1" applyFill="1" applyBorder="1" applyAlignment="1">
      <alignment vertical="center"/>
    </xf>
    <xf numFmtId="0" fontId="71" fillId="10" borderId="0" xfId="20" applyFont="1" applyFill="1" applyAlignment="1">
      <alignment vertical="center" wrapText="1"/>
    </xf>
    <xf numFmtId="0" fontId="71" fillId="18" borderId="0" xfId="20" applyFont="1" applyFill="1"/>
    <xf numFmtId="0" fontId="78" fillId="11" borderId="10" xfId="20" applyFont="1" applyFill="1" applyBorder="1" applyAlignment="1">
      <alignment vertical="center"/>
    </xf>
    <xf numFmtId="0" fontId="78" fillId="11" borderId="4" xfId="20" applyFont="1" applyFill="1" applyBorder="1" applyAlignment="1">
      <alignment vertical="center"/>
    </xf>
    <xf numFmtId="0" fontId="70" fillId="10" borderId="0" xfId="20" applyFont="1" applyFill="1" applyAlignment="1">
      <alignment horizontal="center"/>
    </xf>
    <xf numFmtId="0" fontId="62" fillId="10" borderId="8" xfId="20" applyFont="1" applyFill="1" applyBorder="1" applyAlignment="1">
      <alignment vertical="center"/>
    </xf>
    <xf numFmtId="0" fontId="62" fillId="10" borderId="8" xfId="20" applyFont="1" applyFill="1" applyBorder="1"/>
    <xf numFmtId="0" fontId="62" fillId="10" borderId="8" xfId="20" applyFont="1" applyFill="1" applyBorder="1" applyAlignment="1" applyProtection="1">
      <alignment vertical="center"/>
      <protection locked="0"/>
    </xf>
    <xf numFmtId="0" fontId="62" fillId="10" borderId="0" xfId="20" applyFont="1" applyFill="1" applyAlignment="1" applyProtection="1">
      <alignment vertical="center"/>
      <protection locked="0"/>
    </xf>
    <xf numFmtId="0" fontId="62" fillId="10" borderId="0" xfId="20" applyFont="1" applyFill="1" applyAlignment="1" applyProtection="1">
      <alignment vertical="center" wrapText="1"/>
      <protection locked="0"/>
    </xf>
    <xf numFmtId="0" fontId="62" fillId="10" borderId="11" xfId="20" applyFont="1" applyFill="1" applyBorder="1"/>
    <xf numFmtId="0" fontId="78" fillId="11" borderId="5" xfId="20" applyFont="1" applyFill="1" applyBorder="1" applyAlignment="1">
      <alignment vertical="center"/>
    </xf>
    <xf numFmtId="0" fontId="62" fillId="0" borderId="0" xfId="20" applyFont="1" applyAlignment="1">
      <alignment wrapText="1"/>
    </xf>
    <xf numFmtId="0" fontId="62" fillId="0" borderId="0" xfId="20" applyFont="1" applyAlignment="1">
      <alignment horizontal="center"/>
    </xf>
    <xf numFmtId="0" fontId="62" fillId="10" borderId="0" xfId="20" applyFont="1" applyFill="1" applyAlignment="1">
      <alignment vertical="center"/>
    </xf>
    <xf numFmtId="0" fontId="62" fillId="10" borderId="0" xfId="20" applyFont="1" applyFill="1" applyAlignment="1">
      <alignment horizontal="center" vertical="center"/>
    </xf>
    <xf numFmtId="0" fontId="89" fillId="11" borderId="8" xfId="20" applyFont="1" applyFill="1" applyBorder="1" applyAlignment="1">
      <alignment vertical="center"/>
    </xf>
    <xf numFmtId="0" fontId="78" fillId="11" borderId="0" xfId="20" applyFont="1" applyFill="1" applyAlignment="1">
      <alignment vertical="center"/>
    </xf>
    <xf numFmtId="0" fontId="73" fillId="0" borderId="0" xfId="0" applyFont="1"/>
    <xf numFmtId="3" fontId="63" fillId="0" borderId="0" xfId="0" applyNumberFormat="1" applyFont="1"/>
    <xf numFmtId="3" fontId="63" fillId="0" borderId="0" xfId="44" applyNumberFormat="1" applyFont="1" applyProtection="1">
      <protection locked="0"/>
    </xf>
    <xf numFmtId="9" fontId="63" fillId="0" borderId="69" xfId="44" applyNumberFormat="1" applyFont="1" applyBorder="1"/>
    <xf numFmtId="0" fontId="62" fillId="10" borderId="0" xfId="17" applyFont="1" applyFill="1" applyAlignment="1">
      <alignment wrapText="1"/>
    </xf>
    <xf numFmtId="0" fontId="72" fillId="0" borderId="0" xfId="17" applyFont="1" applyAlignment="1">
      <alignment wrapText="1"/>
    </xf>
    <xf numFmtId="0" fontId="62" fillId="0" borderId="0" xfId="17" applyFont="1" applyAlignment="1">
      <alignment wrapText="1"/>
    </xf>
    <xf numFmtId="0" fontId="63" fillId="0" borderId="0" xfId="17" applyFont="1" applyAlignment="1">
      <alignment wrapText="1"/>
    </xf>
    <xf numFmtId="0" fontId="62" fillId="10" borderId="0" xfId="17" applyFont="1" applyFill="1"/>
    <xf numFmtId="37" fontId="62" fillId="10" borderId="0" xfId="17" applyNumberFormat="1" applyFont="1" applyFill="1" applyAlignment="1">
      <alignment wrapText="1"/>
    </xf>
    <xf numFmtId="0" fontId="63" fillId="10" borderId="0" xfId="17" applyFont="1" applyFill="1" applyAlignment="1">
      <alignment wrapText="1"/>
    </xf>
    <xf numFmtId="0" fontId="63" fillId="0" borderId="0" xfId="3" applyFont="1" applyAlignment="1">
      <alignment horizontal="center" vertical="center"/>
    </xf>
    <xf numFmtId="0" fontId="63" fillId="43" borderId="0" xfId="3" applyFont="1" applyFill="1" applyAlignment="1">
      <alignment horizontal="center" vertical="center"/>
    </xf>
    <xf numFmtId="0" fontId="62" fillId="44" borderId="15" xfId="3" applyFont="1" applyFill="1" applyBorder="1" applyAlignment="1">
      <alignment horizontal="left" vertical="center" indent="1"/>
    </xf>
    <xf numFmtId="0" fontId="80" fillId="45" borderId="88" xfId="0" applyFont="1" applyFill="1" applyBorder="1" applyAlignment="1">
      <alignment horizontal="center" vertical="center"/>
    </xf>
    <xf numFmtId="0" fontId="63" fillId="3" borderId="69" xfId="0" applyFont="1" applyFill="1" applyBorder="1" applyAlignment="1">
      <alignment horizontal="left" vertical="center" wrapText="1" indent="1"/>
    </xf>
    <xf numFmtId="0" fontId="61" fillId="6" borderId="0" xfId="17" applyFont="1" applyFill="1"/>
    <xf numFmtId="0" fontId="61" fillId="6" borderId="0" xfId="17" applyFont="1" applyFill="1" applyAlignment="1">
      <alignment wrapText="1"/>
    </xf>
    <xf numFmtId="0" fontId="72" fillId="6" borderId="0" xfId="17" applyFont="1" applyFill="1" applyAlignment="1">
      <alignment wrapText="1"/>
    </xf>
    <xf numFmtId="3" fontId="61" fillId="6" borderId="0" xfId="17" applyNumberFormat="1" applyFont="1" applyFill="1" applyAlignment="1">
      <alignment horizontal="center" vertical="center"/>
    </xf>
    <xf numFmtId="0" fontId="61" fillId="6" borderId="0" xfId="17" applyFont="1" applyFill="1" applyAlignment="1">
      <alignment horizontal="left" vertical="center" wrapText="1"/>
    </xf>
    <xf numFmtId="0" fontId="61" fillId="0" borderId="0" xfId="17" applyFont="1"/>
    <xf numFmtId="0" fontId="61" fillId="0" borderId="0" xfId="17" applyFont="1" applyAlignment="1">
      <alignment wrapText="1"/>
    </xf>
    <xf numFmtId="0" fontId="61" fillId="6" borderId="91" xfId="17" applyFont="1" applyFill="1" applyBorder="1" applyAlignment="1">
      <alignment horizontal="center" vertical="center" wrapText="1"/>
    </xf>
    <xf numFmtId="0" fontId="61" fillId="6" borderId="92" xfId="17" applyFont="1" applyFill="1" applyBorder="1" applyAlignment="1">
      <alignment horizontal="center" vertical="center" wrapText="1"/>
    </xf>
    <xf numFmtId="10" fontId="62" fillId="10" borderId="69" xfId="16" applyNumberFormat="1" applyFont="1" applyFill="1" applyBorder="1" applyAlignment="1">
      <alignment horizontal="center" vertical="center" wrapText="1"/>
    </xf>
    <xf numFmtId="0" fontId="62" fillId="10" borderId="69" xfId="17" applyFont="1" applyFill="1" applyBorder="1" applyAlignment="1">
      <alignment vertical="center" wrapText="1"/>
    </xf>
    <xf numFmtId="0" fontId="63" fillId="10" borderId="74" xfId="17" applyFont="1" applyFill="1" applyBorder="1" applyAlignment="1">
      <alignment wrapText="1"/>
    </xf>
    <xf numFmtId="0" fontId="63" fillId="10" borderId="75" xfId="17" applyFont="1" applyFill="1" applyBorder="1" applyAlignment="1">
      <alignment wrapText="1"/>
    </xf>
    <xf numFmtId="37" fontId="62" fillId="10" borderId="76" xfId="17" applyNumberFormat="1" applyFont="1" applyFill="1" applyBorder="1" applyAlignment="1">
      <alignment wrapText="1"/>
    </xf>
    <xf numFmtId="0" fontId="61" fillId="10" borderId="0" xfId="3" applyFont="1" applyFill="1" applyAlignment="1">
      <alignment horizontal="center" vertical="center"/>
    </xf>
    <xf numFmtId="3" fontId="72" fillId="10" borderId="0" xfId="17" applyNumberFormat="1" applyFont="1" applyFill="1" applyAlignment="1">
      <alignment horizontal="center" vertical="center" wrapText="1"/>
    </xf>
    <xf numFmtId="10" fontId="72" fillId="10" borderId="0" xfId="16" applyNumberFormat="1" applyFont="1" applyFill="1" applyBorder="1" applyAlignment="1">
      <alignment horizontal="center" vertical="center" wrapText="1"/>
    </xf>
    <xf numFmtId="0" fontId="63" fillId="10" borderId="63" xfId="17" applyFont="1" applyFill="1" applyBorder="1" applyAlignment="1">
      <alignment wrapText="1"/>
    </xf>
    <xf numFmtId="0" fontId="63" fillId="10" borderId="62" xfId="17" applyFont="1" applyFill="1" applyBorder="1" applyAlignment="1">
      <alignment wrapText="1"/>
    </xf>
    <xf numFmtId="0" fontId="63" fillId="10" borderId="4" xfId="17" applyFont="1" applyFill="1" applyBorder="1" applyAlignment="1">
      <alignment wrapText="1"/>
    </xf>
    <xf numFmtId="10" fontId="63" fillId="15" borderId="69" xfId="16" applyNumberFormat="1" applyFont="1" applyFill="1" applyBorder="1" applyAlignment="1">
      <alignment horizontal="center" vertical="center" wrapText="1"/>
    </xf>
    <xf numFmtId="10" fontId="73" fillId="15" borderId="69" xfId="16" applyNumberFormat="1" applyFont="1" applyFill="1" applyBorder="1" applyAlignment="1">
      <alignment horizontal="center" vertical="center" wrapText="1"/>
    </xf>
    <xf numFmtId="10" fontId="61" fillId="4" borderId="69" xfId="16" applyNumberFormat="1" applyFont="1" applyFill="1" applyBorder="1" applyAlignment="1">
      <alignment horizontal="center" vertical="center" wrapText="1"/>
    </xf>
    <xf numFmtId="10" fontId="62" fillId="15" borderId="69" xfId="16" applyNumberFormat="1" applyFont="1" applyFill="1" applyBorder="1" applyAlignment="1">
      <alignment horizontal="center" vertical="center" wrapText="1"/>
    </xf>
    <xf numFmtId="10" fontId="62" fillId="15" borderId="69" xfId="16" applyNumberFormat="1" applyFont="1" applyFill="1" applyBorder="1" applyAlignment="1">
      <alignment wrapText="1"/>
    </xf>
    <xf numFmtId="10" fontId="61" fillId="4" borderId="69" xfId="16" applyNumberFormat="1" applyFont="1" applyFill="1" applyBorder="1" applyAlignment="1">
      <alignment wrapText="1"/>
    </xf>
    <xf numFmtId="0" fontId="70" fillId="26" borderId="75" xfId="17" applyFont="1" applyFill="1" applyBorder="1" applyAlignment="1">
      <alignment wrapText="1"/>
    </xf>
    <xf numFmtId="0" fontId="70" fillId="26" borderId="60" xfId="17" applyFont="1" applyFill="1" applyBorder="1" applyAlignment="1">
      <alignment horizontal="left"/>
    </xf>
    <xf numFmtId="0" fontId="70" fillId="26" borderId="63" xfId="17" applyFont="1" applyFill="1" applyBorder="1" applyAlignment="1">
      <alignment wrapText="1"/>
    </xf>
    <xf numFmtId="0" fontId="70" fillId="26" borderId="62" xfId="17" applyFont="1" applyFill="1" applyBorder="1" applyAlignment="1">
      <alignment wrapText="1"/>
    </xf>
    <xf numFmtId="10" fontId="63" fillId="26" borderId="69" xfId="16" applyNumberFormat="1" applyFont="1" applyFill="1" applyBorder="1" applyAlignment="1">
      <alignment wrapText="1"/>
    </xf>
    <xf numFmtId="10" fontId="62" fillId="10" borderId="97" xfId="16" applyNumberFormat="1" applyFont="1" applyFill="1" applyBorder="1" applyAlignment="1">
      <alignment horizontal="center" vertical="center" wrapText="1"/>
    </xf>
    <xf numFmtId="10" fontId="62" fillId="15" borderId="97" xfId="16" applyNumberFormat="1" applyFont="1" applyFill="1" applyBorder="1" applyAlignment="1">
      <alignment horizontal="center" vertical="center" wrapText="1"/>
    </xf>
    <xf numFmtId="10" fontId="63" fillId="26" borderId="97" xfId="16" applyNumberFormat="1" applyFont="1" applyFill="1" applyBorder="1" applyAlignment="1">
      <alignment horizontal="center" vertical="center" wrapText="1"/>
    </xf>
    <xf numFmtId="0" fontId="70" fillId="26" borderId="10" xfId="17" applyFont="1" applyFill="1" applyBorder="1" applyAlignment="1">
      <alignment wrapText="1"/>
    </xf>
    <xf numFmtId="10" fontId="63" fillId="26" borderId="99" xfId="16" applyNumberFormat="1" applyFont="1" applyFill="1" applyBorder="1" applyAlignment="1">
      <alignment horizontal="center" vertical="center" wrapText="1"/>
    </xf>
    <xf numFmtId="0" fontId="61" fillId="4" borderId="23" xfId="17" applyFont="1" applyFill="1" applyBorder="1" applyAlignment="1">
      <alignment horizontal="center" vertical="center" wrapText="1"/>
    </xf>
    <xf numFmtId="0" fontId="61" fillId="4" borderId="19" xfId="17" applyFont="1" applyFill="1" applyBorder="1" applyAlignment="1">
      <alignment horizontal="center" vertical="center" wrapText="1"/>
    </xf>
    <xf numFmtId="10" fontId="61" fillId="4" borderId="46" xfId="16" applyNumberFormat="1" applyFont="1" applyFill="1" applyBorder="1" applyAlignment="1">
      <alignment horizontal="center" vertical="center" wrapText="1"/>
    </xf>
    <xf numFmtId="10" fontId="63" fillId="26" borderId="4" xfId="16" applyNumberFormat="1" applyFont="1" applyFill="1" applyBorder="1" applyAlignment="1">
      <alignment wrapText="1"/>
    </xf>
    <xf numFmtId="0" fontId="61" fillId="6" borderId="90" xfId="17" applyFont="1" applyFill="1" applyBorder="1" applyAlignment="1">
      <alignment horizontal="center" vertical="center" wrapText="1"/>
    </xf>
    <xf numFmtId="10" fontId="62" fillId="26" borderId="46" xfId="16" applyNumberFormat="1" applyFont="1" applyFill="1" applyBorder="1" applyAlignment="1">
      <alignment wrapText="1"/>
    </xf>
    <xf numFmtId="10" fontId="63" fillId="26" borderId="54" xfId="16" applyNumberFormat="1" applyFont="1" applyFill="1" applyBorder="1" applyAlignment="1">
      <alignment wrapText="1"/>
    </xf>
    <xf numFmtId="10" fontId="62" fillId="10" borderId="46" xfId="16" applyNumberFormat="1" applyFont="1" applyFill="1" applyBorder="1" applyAlignment="1">
      <alignment horizontal="center" vertical="center" wrapText="1"/>
    </xf>
    <xf numFmtId="10" fontId="63" fillId="15" borderId="46" xfId="16" applyNumberFormat="1" applyFont="1" applyFill="1" applyBorder="1" applyAlignment="1">
      <alignment horizontal="center" vertical="center" wrapText="1"/>
    </xf>
    <xf numFmtId="10" fontId="62" fillId="15" borderId="46" xfId="16" applyNumberFormat="1" applyFont="1" applyFill="1" applyBorder="1" applyAlignment="1">
      <alignment horizontal="center" vertical="center" wrapText="1"/>
    </xf>
    <xf numFmtId="10" fontId="61" fillId="4" borderId="48" xfId="16" applyNumberFormat="1" applyFont="1" applyFill="1" applyBorder="1" applyAlignment="1">
      <alignment horizontal="center" wrapText="1"/>
    </xf>
    <xf numFmtId="1" fontId="63" fillId="26" borderId="99" xfId="16" applyNumberFormat="1" applyFont="1" applyFill="1" applyBorder="1" applyAlignment="1">
      <alignment horizontal="center" vertical="center" wrapText="1"/>
    </xf>
    <xf numFmtId="1" fontId="62" fillId="10" borderId="97" xfId="16" applyNumberFormat="1" applyFont="1" applyFill="1" applyBorder="1" applyAlignment="1">
      <alignment horizontal="center" vertical="center" wrapText="1"/>
    </xf>
    <xf numFmtId="1" fontId="62" fillId="15" borderId="97" xfId="16" applyNumberFormat="1" applyFont="1" applyFill="1" applyBorder="1" applyAlignment="1">
      <alignment horizontal="center" vertical="center" wrapText="1"/>
    </xf>
    <xf numFmtId="1" fontId="63" fillId="26" borderId="97" xfId="16" applyNumberFormat="1" applyFont="1" applyFill="1" applyBorder="1" applyAlignment="1">
      <alignment horizontal="center" vertical="center" wrapText="1"/>
    </xf>
    <xf numFmtId="1" fontId="61" fillId="4" borderId="98" xfId="16" applyNumberFormat="1" applyFont="1" applyFill="1" applyBorder="1" applyAlignment="1">
      <alignment horizontal="center" wrapText="1"/>
    </xf>
    <xf numFmtId="0" fontId="61" fillId="4" borderId="75" xfId="17" applyFont="1" applyFill="1" applyBorder="1" applyAlignment="1">
      <alignment wrapText="1"/>
    </xf>
    <xf numFmtId="0" fontId="62" fillId="0" borderId="69" xfId="0" applyFont="1" applyBorder="1" applyAlignment="1">
      <alignment horizontal="left" vertical="center"/>
    </xf>
    <xf numFmtId="0" fontId="61" fillId="0" borderId="0" xfId="0" applyFont="1" applyAlignment="1">
      <alignment horizontal="center" wrapText="1"/>
    </xf>
    <xf numFmtId="0" fontId="63" fillId="0" borderId="0" xfId="0" applyFont="1" applyAlignment="1">
      <alignment horizontal="left" vertical="center"/>
    </xf>
    <xf numFmtId="0" fontId="61" fillId="22" borderId="0" xfId="44" applyFont="1" applyFill="1"/>
    <xf numFmtId="0" fontId="63" fillId="22" borderId="0" xfId="44" applyFont="1" applyFill="1"/>
    <xf numFmtId="0" fontId="62" fillId="10" borderId="0" xfId="51" applyFont="1" applyFill="1"/>
    <xf numFmtId="0" fontId="62" fillId="10" borderId="0" xfId="53" applyFont="1" applyFill="1"/>
    <xf numFmtId="43" fontId="62" fillId="10" borderId="0" xfId="53" applyNumberFormat="1" applyFont="1" applyFill="1"/>
    <xf numFmtId="43" fontId="62" fillId="10" borderId="0" xfId="1" applyFont="1" applyFill="1"/>
    <xf numFmtId="166" fontId="73" fillId="10" borderId="0" xfId="53" applyNumberFormat="1" applyFont="1" applyFill="1" applyAlignment="1">
      <alignment horizontal="center"/>
    </xf>
    <xf numFmtId="0" fontId="62" fillId="0" borderId="0" xfId="51" applyFont="1"/>
    <xf numFmtId="0" fontId="70" fillId="9" borderId="17" xfId="53" applyFont="1" applyFill="1" applyBorder="1" applyAlignment="1">
      <alignment horizontal="center" vertical="center"/>
    </xf>
    <xf numFmtId="0" fontId="61" fillId="6" borderId="69" xfId="53" applyFont="1" applyFill="1" applyBorder="1" applyAlignment="1">
      <alignment horizontal="center" vertical="center"/>
    </xf>
    <xf numFmtId="0" fontId="61" fillId="6" borderId="15" xfId="53" applyFont="1" applyFill="1" applyBorder="1" applyAlignment="1">
      <alignment horizontal="center" vertical="center"/>
    </xf>
    <xf numFmtId="0" fontId="61" fillId="6" borderId="76" xfId="53" applyFont="1" applyFill="1" applyBorder="1" applyAlignment="1">
      <alignment horizontal="center" vertical="center"/>
    </xf>
    <xf numFmtId="0" fontId="62" fillId="10" borderId="17" xfId="53" applyFont="1" applyFill="1" applyBorder="1"/>
    <xf numFmtId="0" fontId="62" fillId="10" borderId="17" xfId="53" applyFont="1" applyFill="1" applyBorder="1" applyAlignment="1">
      <alignment horizontal="center" vertical="center"/>
    </xf>
    <xf numFmtId="0" fontId="62" fillId="10" borderId="15" xfId="53" applyFont="1" applyFill="1" applyBorder="1" applyAlignment="1">
      <alignment horizontal="center" vertical="center"/>
    </xf>
    <xf numFmtId="0" fontId="62" fillId="10" borderId="70" xfId="53" applyFont="1" applyFill="1" applyBorder="1"/>
    <xf numFmtId="0" fontId="62" fillId="10" borderId="70" xfId="53" applyFont="1" applyFill="1" applyBorder="1" applyAlignment="1">
      <alignment horizontal="center" vertical="center"/>
    </xf>
    <xf numFmtId="0" fontId="62" fillId="10" borderId="71" xfId="53" applyFont="1" applyFill="1" applyBorder="1" applyAlignment="1">
      <alignment horizontal="center" vertical="center"/>
    </xf>
    <xf numFmtId="0" fontId="62" fillId="10" borderId="60" xfId="53" applyFont="1" applyFill="1" applyBorder="1"/>
    <xf numFmtId="0" fontId="62" fillId="10" borderId="60" xfId="53" applyFont="1" applyFill="1" applyBorder="1" applyAlignment="1">
      <alignment horizontal="center" vertical="center"/>
    </xf>
    <xf numFmtId="0" fontId="62" fillId="10" borderId="63" xfId="53" applyFont="1" applyFill="1" applyBorder="1" applyAlignment="1">
      <alignment horizontal="center" vertical="center"/>
    </xf>
    <xf numFmtId="0" fontId="62" fillId="10" borderId="74" xfId="53" applyFont="1" applyFill="1" applyBorder="1" applyAlignment="1">
      <alignment vertical="center"/>
    </xf>
    <xf numFmtId="0" fontId="62" fillId="10" borderId="69" xfId="53" applyFont="1" applyFill="1" applyBorder="1"/>
    <xf numFmtId="0" fontId="62" fillId="10" borderId="69" xfId="53" applyFont="1" applyFill="1" applyBorder="1" applyAlignment="1">
      <alignment horizontal="center" vertical="center"/>
    </xf>
    <xf numFmtId="0" fontId="62" fillId="10" borderId="74" xfId="53" applyFont="1" applyFill="1" applyBorder="1" applyAlignment="1">
      <alignment horizontal="center" vertical="center"/>
    </xf>
    <xf numFmtId="0" fontId="62" fillId="10" borderId="74" xfId="53" applyFont="1" applyFill="1" applyBorder="1"/>
    <xf numFmtId="0" fontId="63" fillId="10" borderId="0" xfId="3" applyFont="1" applyFill="1" applyAlignment="1">
      <alignment horizontal="left" vertical="center" wrapText="1"/>
    </xf>
    <xf numFmtId="0" fontId="63" fillId="10" borderId="0" xfId="0" applyFont="1" applyFill="1"/>
    <xf numFmtId="0" fontId="61" fillId="10" borderId="0" xfId="24" applyFont="1" applyFill="1"/>
    <xf numFmtId="0" fontId="62" fillId="10" borderId="0" xfId="24" applyFont="1" applyFill="1"/>
    <xf numFmtId="0" fontId="63" fillId="10" borderId="0" xfId="44" applyFont="1" applyFill="1"/>
    <xf numFmtId="0" fontId="62" fillId="0" borderId="69" xfId="51" applyFont="1" applyBorder="1" applyProtection="1">
      <protection locked="0"/>
    </xf>
    <xf numFmtId="0" fontId="64" fillId="0" borderId="65" xfId="0" applyFont="1" applyBorder="1" applyAlignment="1">
      <alignment horizontal="center" wrapText="1"/>
    </xf>
    <xf numFmtId="165" fontId="63" fillId="0" borderId="0" xfId="0" applyNumberFormat="1" applyFont="1"/>
    <xf numFmtId="4" fontId="63" fillId="30" borderId="21" xfId="0" applyNumberFormat="1" applyFont="1" applyFill="1" applyBorder="1" applyAlignment="1">
      <alignment horizontal="left" wrapText="1" indent="1"/>
    </xf>
    <xf numFmtId="4" fontId="63" fillId="0" borderId="19" xfId="0" applyNumberFormat="1" applyFont="1" applyBorder="1" applyAlignment="1">
      <alignment horizontal="right" wrapText="1"/>
    </xf>
    <xf numFmtId="4" fontId="63" fillId="30" borderId="23" xfId="0" applyNumberFormat="1" applyFont="1" applyFill="1" applyBorder="1" applyAlignment="1">
      <alignment horizontal="left" wrapText="1" indent="1"/>
    </xf>
    <xf numFmtId="4" fontId="63" fillId="29" borderId="21" xfId="0" applyNumberFormat="1" applyFont="1" applyFill="1" applyBorder="1" applyAlignment="1">
      <alignment horizontal="right" wrapText="1" indent="1"/>
    </xf>
    <xf numFmtId="0" fontId="63" fillId="30" borderId="3" xfId="0" applyFont="1" applyFill="1" applyBorder="1" applyAlignment="1">
      <alignment horizontal="left" wrapText="1" indent="1"/>
    </xf>
    <xf numFmtId="0" fontId="63" fillId="0" borderId="3" xfId="0" applyFont="1" applyBorder="1" applyAlignment="1">
      <alignment horizontal="left" wrapText="1" indent="1"/>
    </xf>
    <xf numFmtId="4" fontId="63" fillId="30" borderId="3" xfId="0" applyNumberFormat="1" applyFont="1" applyFill="1" applyBorder="1" applyAlignment="1">
      <alignment horizontal="left" wrapText="1" indent="1"/>
    </xf>
    <xf numFmtId="4" fontId="63" fillId="0" borderId="3" xfId="0" applyNumberFormat="1" applyFont="1" applyBorder="1" applyAlignment="1">
      <alignment horizontal="right" wrapText="1"/>
    </xf>
    <xf numFmtId="4" fontId="63" fillId="30" borderId="20" xfId="0" applyNumberFormat="1" applyFont="1" applyFill="1" applyBorder="1" applyAlignment="1">
      <alignment horizontal="left" wrapText="1" indent="1"/>
    </xf>
    <xf numFmtId="4" fontId="64" fillId="0" borderId="23" xfId="0" applyNumberFormat="1" applyFont="1" applyBorder="1" applyAlignment="1">
      <alignment horizontal="right"/>
    </xf>
    <xf numFmtId="4" fontId="63" fillId="29" borderId="23" xfId="0" applyNumberFormat="1" applyFont="1" applyFill="1" applyBorder="1" applyAlignment="1">
      <alignment horizontal="right" wrapText="1" indent="1"/>
    </xf>
    <xf numFmtId="4" fontId="64" fillId="0" borderId="19" xfId="0" applyNumberFormat="1" applyFont="1" applyBorder="1" applyAlignment="1">
      <alignment horizontal="right"/>
    </xf>
    <xf numFmtId="0" fontId="64" fillId="0" borderId="0" xfId="0" applyFont="1" applyAlignment="1">
      <alignment wrapText="1"/>
    </xf>
    <xf numFmtId="169" fontId="63" fillId="0" borderId="3" xfId="0" applyNumberFormat="1" applyFont="1" applyBorder="1" applyAlignment="1">
      <alignment horizontal="center" wrapText="1"/>
    </xf>
    <xf numFmtId="4" fontId="63" fillId="30" borderId="3" xfId="0" applyNumberFormat="1" applyFont="1" applyFill="1" applyBorder="1" applyAlignment="1">
      <alignment horizontal="right" wrapText="1"/>
    </xf>
    <xf numFmtId="0" fontId="70" fillId="10" borderId="0" xfId="49" applyFont="1" applyFill="1"/>
    <xf numFmtId="0" fontId="62" fillId="10" borderId="0" xfId="49" applyFont="1" applyFill="1" applyAlignment="1">
      <alignment horizontal="center" vertical="center"/>
    </xf>
    <xf numFmtId="0" fontId="62" fillId="10" borderId="0" xfId="49" applyFont="1" applyFill="1" applyAlignment="1">
      <alignment horizontal="center"/>
    </xf>
    <xf numFmtId="0" fontId="62" fillId="10" borderId="0" xfId="49" applyFont="1" applyFill="1"/>
    <xf numFmtId="0" fontId="62" fillId="10" borderId="69" xfId="49" applyFont="1" applyFill="1" applyBorder="1"/>
    <xf numFmtId="9" fontId="62" fillId="10" borderId="69" xfId="50" applyFont="1" applyFill="1" applyBorder="1"/>
    <xf numFmtId="0" fontId="62" fillId="10" borderId="69" xfId="49" applyFont="1" applyFill="1" applyBorder="1" applyAlignment="1">
      <alignment horizontal="center" vertical="center"/>
    </xf>
    <xf numFmtId="0" fontId="62" fillId="10" borderId="69" xfId="49" applyFont="1" applyFill="1" applyBorder="1" applyAlignment="1">
      <alignment horizontal="center"/>
    </xf>
    <xf numFmtId="0" fontId="63" fillId="0" borderId="69" xfId="3" applyFont="1" applyBorder="1"/>
    <xf numFmtId="9" fontId="62" fillId="10" borderId="0" xfId="50" applyFont="1" applyFill="1"/>
    <xf numFmtId="0" fontId="63" fillId="15" borderId="69" xfId="3" applyFont="1" applyFill="1" applyBorder="1" applyAlignment="1">
      <alignment horizontal="center" vertical="center"/>
    </xf>
    <xf numFmtId="0" fontId="63" fillId="9" borderId="69" xfId="3" applyFont="1" applyFill="1" applyBorder="1"/>
    <xf numFmtId="168" fontId="62" fillId="9" borderId="69" xfId="49" applyNumberFormat="1" applyFont="1" applyFill="1" applyBorder="1" applyAlignment="1">
      <alignment horizontal="center" vertical="center"/>
    </xf>
    <xf numFmtId="168" fontId="63" fillId="0" borderId="69" xfId="3" applyNumberFormat="1" applyFont="1" applyBorder="1" applyAlignment="1">
      <alignment horizontal="center"/>
    </xf>
    <xf numFmtId="168" fontId="62" fillId="10" borderId="69" xfId="49" applyNumberFormat="1" applyFont="1" applyFill="1" applyBorder="1" applyAlignment="1">
      <alignment horizontal="center" vertical="center"/>
    </xf>
    <xf numFmtId="0" fontId="63" fillId="0" borderId="69" xfId="3" applyFont="1" applyBorder="1" applyAlignment="1">
      <alignment horizontal="left"/>
    </xf>
    <xf numFmtId="0" fontId="62" fillId="10" borderId="74" xfId="49" applyFont="1" applyFill="1" applyBorder="1" applyAlignment="1">
      <alignment horizontal="left" vertical="center"/>
    </xf>
    <xf numFmtId="0" fontId="62" fillId="10" borderId="76" xfId="49" applyFont="1" applyFill="1" applyBorder="1" applyAlignment="1">
      <alignment horizontal="left" vertical="center"/>
    </xf>
    <xf numFmtId="0" fontId="63" fillId="0" borderId="74" xfId="3" applyFont="1" applyBorder="1" applyAlignment="1">
      <alignment horizontal="left"/>
    </xf>
    <xf numFmtId="0" fontId="63" fillId="0" borderId="76" xfId="3" applyFont="1" applyBorder="1" applyAlignment="1">
      <alignment horizontal="left"/>
    </xf>
    <xf numFmtId="10" fontId="62" fillId="10" borderId="69" xfId="50" applyNumberFormat="1" applyFont="1" applyFill="1" applyBorder="1"/>
    <xf numFmtId="0" fontId="61" fillId="27" borderId="0" xfId="21" applyFont="1" applyFill="1"/>
    <xf numFmtId="0" fontId="62" fillId="27" borderId="0" xfId="21" applyFont="1" applyFill="1" applyAlignment="1">
      <alignment horizontal="center" vertical="center"/>
    </xf>
    <xf numFmtId="0" fontId="62" fillId="27" borderId="0" xfId="21" applyFont="1" applyFill="1"/>
    <xf numFmtId="0" fontId="62" fillId="26" borderId="0" xfId="21" applyFont="1" applyFill="1"/>
    <xf numFmtId="0" fontId="62" fillId="26" borderId="0" xfId="21" applyFont="1" applyFill="1" applyAlignment="1">
      <alignment horizontal="center" vertical="center"/>
    </xf>
    <xf numFmtId="0" fontId="62" fillId="0" borderId="0" xfId="21" applyFont="1" applyAlignment="1">
      <alignment horizontal="center" vertical="center"/>
    </xf>
    <xf numFmtId="0" fontId="62" fillId="0" borderId="0" xfId="21" applyFont="1"/>
    <xf numFmtId="0" fontId="95" fillId="0" borderId="0" xfId="21" applyFont="1" applyAlignment="1">
      <alignment horizontal="center" vertical="center"/>
    </xf>
    <xf numFmtId="0" fontId="95" fillId="0" borderId="2" xfId="21" applyFont="1" applyBorder="1" applyAlignment="1">
      <alignment horizontal="center"/>
    </xf>
    <xf numFmtId="0" fontId="62" fillId="0" borderId="2" xfId="21" applyFont="1" applyBorder="1" applyAlignment="1">
      <alignment horizontal="center" vertical="center"/>
    </xf>
    <xf numFmtId="0" fontId="63" fillId="0" borderId="0" xfId="21" applyFont="1" applyAlignment="1">
      <alignment horizontal="center" vertical="center"/>
    </xf>
    <xf numFmtId="0" fontId="63" fillId="0" borderId="0" xfId="21" applyFont="1" applyAlignment="1">
      <alignment vertical="center"/>
    </xf>
    <xf numFmtId="0" fontId="64" fillId="26" borderId="2" xfId="0" applyFont="1" applyFill="1" applyBorder="1" applyAlignment="1">
      <alignment horizontal="center" vertical="center"/>
    </xf>
    <xf numFmtId="0" fontId="67" fillId="29" borderId="2" xfId="21" applyFont="1" applyFill="1" applyBorder="1" applyAlignment="1">
      <alignment horizontal="center" vertical="center"/>
    </xf>
    <xf numFmtId="0" fontId="63" fillId="0" borderId="0" xfId="21" applyFont="1"/>
    <xf numFmtId="0" fontId="95" fillId="0" borderId="2" xfId="21" applyFont="1" applyBorder="1" applyAlignment="1">
      <alignment horizontal="right"/>
    </xf>
    <xf numFmtId="0" fontId="95" fillId="0" borderId="2" xfId="21" applyFont="1" applyBorder="1" applyAlignment="1">
      <alignment horizontal="right" vertical="center"/>
    </xf>
    <xf numFmtId="0" fontId="95" fillId="0" borderId="2" xfId="21" applyFont="1" applyBorder="1"/>
    <xf numFmtId="0" fontId="62" fillId="0" borderId="0" xfId="21" applyFont="1" applyAlignment="1">
      <alignment horizontal="left" indent="1"/>
    </xf>
    <xf numFmtId="0" fontId="62" fillId="0" borderId="2" xfId="21" applyFont="1" applyBorder="1"/>
    <xf numFmtId="9" fontId="62" fillId="0" borderId="0" xfId="22" applyFont="1" applyAlignment="1">
      <alignment horizontal="center" vertical="center"/>
    </xf>
    <xf numFmtId="9" fontId="62" fillId="0" borderId="2" xfId="22" applyFont="1" applyBorder="1" applyAlignment="1">
      <alignment horizontal="center" vertical="center"/>
    </xf>
    <xf numFmtId="0" fontId="70" fillId="0" borderId="0" xfId="21" applyFont="1" applyAlignment="1">
      <alignment vertical="center"/>
    </xf>
    <xf numFmtId="0" fontId="61" fillId="6" borderId="71" xfId="21" applyFont="1" applyFill="1" applyBorder="1" applyAlignment="1">
      <alignment horizontal="center" vertical="center" wrapText="1"/>
    </xf>
    <xf numFmtId="0" fontId="61" fillId="6" borderId="15" xfId="21" applyFont="1" applyFill="1" applyBorder="1" applyAlignment="1">
      <alignment horizontal="center" vertical="center" wrapText="1"/>
    </xf>
    <xf numFmtId="0" fontId="64" fillId="26" borderId="71" xfId="0" applyFont="1" applyFill="1" applyBorder="1" applyAlignment="1">
      <alignment horizontal="center" vertical="center"/>
    </xf>
    <xf numFmtId="0" fontId="64" fillId="26" borderId="0" xfId="0" applyFont="1" applyFill="1" applyAlignment="1">
      <alignment horizontal="center" vertical="center" wrapText="1"/>
    </xf>
    <xf numFmtId="0" fontId="68" fillId="29" borderId="71" xfId="21" applyFont="1" applyFill="1" applyBorder="1" applyAlignment="1">
      <alignment horizontal="center" vertical="center"/>
    </xf>
    <xf numFmtId="0" fontId="68" fillId="29" borderId="0" xfId="21" applyFont="1" applyFill="1" applyAlignment="1">
      <alignment horizontal="center" vertical="center"/>
    </xf>
    <xf numFmtId="0" fontId="62" fillId="0" borderId="71" xfId="21" applyFont="1" applyBorder="1"/>
    <xf numFmtId="0" fontId="62" fillId="0" borderId="71" xfId="21" applyFont="1" applyBorder="1" applyAlignment="1">
      <alignment horizontal="right" vertical="center"/>
    </xf>
    <xf numFmtId="0" fontId="62" fillId="0" borderId="0" xfId="21" applyFont="1" applyAlignment="1">
      <alignment horizontal="right" vertical="center"/>
    </xf>
    <xf numFmtId="0" fontId="95" fillId="0" borderId="71" xfId="21" applyFont="1" applyBorder="1" applyAlignment="1">
      <alignment horizontal="right"/>
    </xf>
    <xf numFmtId="0" fontId="95" fillId="0" borderId="0" xfId="21" applyFont="1" applyAlignment="1">
      <alignment horizontal="right"/>
    </xf>
    <xf numFmtId="0" fontId="95" fillId="0" borderId="0" xfId="21" applyFont="1" applyAlignment="1">
      <alignment horizontal="right" vertical="center"/>
    </xf>
    <xf numFmtId="2" fontId="62" fillId="0" borderId="70" xfId="21" applyNumberFormat="1" applyFont="1" applyBorder="1"/>
    <xf numFmtId="0" fontId="62" fillId="0" borderId="0" xfId="21" applyFont="1" applyAlignment="1">
      <alignment horizontal="right"/>
    </xf>
    <xf numFmtId="2" fontId="62" fillId="0" borderId="0" xfId="21" applyNumberFormat="1" applyFont="1" applyAlignment="1">
      <alignment horizontal="right"/>
    </xf>
    <xf numFmtId="2" fontId="62" fillId="0" borderId="2" xfId="21" applyNumberFormat="1" applyFont="1" applyBorder="1" applyAlignment="1">
      <alignment horizontal="right"/>
    </xf>
    <xf numFmtId="0" fontId="95" fillId="0" borderId="71" xfId="21" applyFont="1" applyBorder="1"/>
    <xf numFmtId="0" fontId="95" fillId="0" borderId="0" xfId="21" applyFont="1"/>
    <xf numFmtId="0" fontId="62" fillId="0" borderId="71" xfId="21" applyFont="1" applyBorder="1" applyAlignment="1">
      <alignment horizontal="left" indent="1"/>
    </xf>
    <xf numFmtId="0" fontId="62" fillId="0" borderId="63" xfId="21" applyFont="1" applyBorder="1"/>
    <xf numFmtId="0" fontId="62" fillId="0" borderId="62" xfId="21" applyFont="1" applyBorder="1"/>
    <xf numFmtId="0" fontId="62" fillId="0" borderId="63" xfId="21" applyFont="1" applyBorder="1" applyAlignment="1">
      <alignment horizontal="right" vertical="center"/>
    </xf>
    <xf numFmtId="0" fontId="62" fillId="0" borderId="62" xfId="21" applyFont="1" applyBorder="1" applyAlignment="1">
      <alignment horizontal="right" vertical="center"/>
    </xf>
    <xf numFmtId="0" fontId="95" fillId="0" borderId="61" xfId="21" applyFont="1" applyBorder="1" applyAlignment="1">
      <alignment horizontal="right" vertical="center"/>
    </xf>
    <xf numFmtId="0" fontId="95" fillId="0" borderId="63" xfId="21" applyFont="1" applyBorder="1" applyAlignment="1">
      <alignment horizontal="right"/>
    </xf>
    <xf numFmtId="0" fontId="95" fillId="0" borderId="62" xfId="21" applyFont="1" applyBorder="1" applyAlignment="1">
      <alignment horizontal="right"/>
    </xf>
    <xf numFmtId="0" fontId="95" fillId="0" borderId="61" xfId="21" applyFont="1" applyBorder="1" applyAlignment="1">
      <alignment horizontal="right"/>
    </xf>
    <xf numFmtId="2" fontId="62" fillId="0" borderId="60" xfId="21" applyNumberFormat="1" applyFont="1" applyBorder="1"/>
    <xf numFmtId="0" fontId="62" fillId="0" borderId="62" xfId="21" applyFont="1" applyBorder="1" applyAlignment="1">
      <alignment horizontal="right"/>
    </xf>
    <xf numFmtId="2" fontId="62" fillId="0" borderId="62" xfId="21" applyNumberFormat="1" applyFont="1" applyBorder="1" applyAlignment="1">
      <alignment horizontal="right"/>
    </xf>
    <xf numFmtId="2" fontId="62" fillId="0" borderId="61" xfId="21" applyNumberFormat="1" applyFont="1" applyBorder="1" applyAlignment="1">
      <alignment horizontal="right"/>
    </xf>
    <xf numFmtId="0" fontId="63" fillId="0" borderId="75" xfId="0" applyFont="1" applyBorder="1" applyAlignment="1">
      <alignment horizontal="center"/>
    </xf>
    <xf numFmtId="3" fontId="63" fillId="0" borderId="75" xfId="0" applyNumberFormat="1" applyFont="1" applyBorder="1" applyAlignment="1">
      <alignment horizontal="center" vertical="center"/>
    </xf>
    <xf numFmtId="0" fontId="63" fillId="0" borderId="75" xfId="0" applyFont="1" applyBorder="1"/>
    <xf numFmtId="0" fontId="63" fillId="0" borderId="19" xfId="0" applyFont="1" applyBorder="1" applyAlignment="1">
      <alignment horizontal="left" wrapText="1"/>
    </xf>
    <xf numFmtId="0" fontId="63" fillId="0" borderId="19" xfId="0" applyFont="1" applyBorder="1" applyAlignment="1">
      <alignment horizontal="center" vertical="top" wrapText="1"/>
    </xf>
    <xf numFmtId="0" fontId="64" fillId="0" borderId="3" xfId="0" applyFont="1" applyBorder="1" applyAlignment="1">
      <alignment horizontal="center" vertical="center" wrapText="1"/>
    </xf>
    <xf numFmtId="171" fontId="64" fillId="15" borderId="19" xfId="0" applyNumberFormat="1" applyFont="1" applyFill="1" applyBorder="1" applyAlignment="1">
      <alignment horizontal="right" wrapText="1"/>
    </xf>
    <xf numFmtId="0" fontId="63" fillId="0" borderId="0" xfId="0" applyFont="1" applyAlignment="1">
      <alignment horizontal="right" wrapText="1"/>
    </xf>
    <xf numFmtId="0" fontId="63" fillId="0" borderId="3" xfId="0" applyFont="1" applyBorder="1" applyAlignment="1">
      <alignment horizontal="center" vertical="top" wrapText="1"/>
    </xf>
    <xf numFmtId="0" fontId="64" fillId="0" borderId="68" xfId="0" applyFont="1" applyBorder="1" applyAlignment="1">
      <alignment horizontal="center"/>
    </xf>
    <xf numFmtId="0" fontId="63" fillId="0" borderId="3" xfId="0" applyFont="1" applyBorder="1" applyAlignment="1">
      <alignment horizontal="center" wrapText="1"/>
    </xf>
    <xf numFmtId="0" fontId="61" fillId="6" borderId="0" xfId="0" applyFont="1" applyFill="1"/>
    <xf numFmtId="0" fontId="61" fillId="6" borderId="0" xfId="0" applyFont="1" applyFill="1" applyAlignment="1">
      <alignment wrapText="1"/>
    </xf>
    <xf numFmtId="0" fontId="64" fillId="30" borderId="19" xfId="0" applyFont="1" applyFill="1" applyBorder="1" applyAlignment="1">
      <alignment horizontal="center" wrapText="1"/>
    </xf>
    <xf numFmtId="0" fontId="45" fillId="0" borderId="68" xfId="0" applyFont="1" applyBorder="1" applyAlignment="1">
      <alignment horizontal="center" wrapText="1"/>
    </xf>
    <xf numFmtId="0" fontId="72" fillId="48" borderId="0" xfId="0" applyFont="1" applyFill="1"/>
    <xf numFmtId="0" fontId="63" fillId="0" borderId="8" xfId="3" applyFont="1" applyBorder="1" applyAlignment="1">
      <alignment horizontal="left" vertical="top"/>
    </xf>
    <xf numFmtId="4" fontId="105" fillId="0" borderId="0" xfId="3" applyNumberFormat="1" applyFont="1" applyAlignment="1">
      <alignment horizontal="right" vertical="center"/>
    </xf>
    <xf numFmtId="4" fontId="64" fillId="0" borderId="0" xfId="0" applyNumberFormat="1" applyFont="1"/>
    <xf numFmtId="0" fontId="63" fillId="0" borderId="8" xfId="0" applyFont="1" applyBorder="1" applyAlignment="1">
      <alignment horizontal="left" vertical="top"/>
    </xf>
    <xf numFmtId="3" fontId="104" fillId="0" borderId="0" xfId="0" applyNumberFormat="1" applyFont="1" applyAlignment="1">
      <alignment horizontal="right" vertical="center"/>
    </xf>
    <xf numFmtId="0" fontId="61" fillId="6" borderId="8" xfId="3" applyFont="1" applyFill="1" applyBorder="1" applyAlignment="1">
      <alignment vertical="top"/>
    </xf>
    <xf numFmtId="0" fontId="109" fillId="6" borderId="0" xfId="3" applyFont="1" applyFill="1" applyAlignment="1">
      <alignment vertical="top"/>
    </xf>
    <xf numFmtId="3" fontId="109" fillId="6" borderId="0" xfId="3" applyNumberFormat="1" applyFont="1" applyFill="1" applyAlignment="1">
      <alignment horizontal="right" vertical="center"/>
    </xf>
    <xf numFmtId="3" fontId="72" fillId="6" borderId="0" xfId="0" applyNumberFormat="1" applyFont="1" applyFill="1"/>
    <xf numFmtId="4" fontId="64" fillId="39" borderId="23" xfId="0" applyNumberFormat="1" applyFont="1" applyFill="1" applyBorder="1" applyAlignment="1">
      <alignment wrapText="1"/>
    </xf>
    <xf numFmtId="0" fontId="63" fillId="39" borderId="23" xfId="0" applyFont="1" applyFill="1" applyBorder="1" applyAlignment="1">
      <alignment wrapText="1"/>
    </xf>
    <xf numFmtId="0" fontId="63" fillId="39" borderId="23" xfId="0" applyFont="1" applyFill="1" applyBorder="1" applyAlignment="1">
      <alignment horizontal="right" wrapText="1"/>
    </xf>
    <xf numFmtId="171" fontId="64" fillId="39" borderId="23" xfId="0" applyNumberFormat="1" applyFont="1" applyFill="1" applyBorder="1" applyAlignment="1">
      <alignment horizontal="right" wrapText="1"/>
    </xf>
    <xf numFmtId="0" fontId="63" fillId="39" borderId="23" xfId="0" applyFont="1" applyFill="1" applyBorder="1"/>
    <xf numFmtId="4" fontId="64" fillId="39" borderId="23" xfId="0" applyNumberFormat="1" applyFont="1" applyFill="1" applyBorder="1"/>
    <xf numFmtId="0" fontId="63" fillId="30" borderId="23" xfId="0" applyFont="1" applyFill="1" applyBorder="1" applyAlignment="1">
      <alignment wrapText="1"/>
    </xf>
    <xf numFmtId="165" fontId="63" fillId="0" borderId="69" xfId="0" applyNumberFormat="1" applyFont="1" applyBorder="1" applyAlignment="1">
      <alignment horizontal="center"/>
    </xf>
    <xf numFmtId="4" fontId="64" fillId="0" borderId="20" xfId="0" applyNumberFormat="1" applyFont="1" applyBorder="1"/>
    <xf numFmtId="0" fontId="61" fillId="0" borderId="0" xfId="0" applyFont="1"/>
    <xf numFmtId="3" fontId="63" fillId="0" borderId="75" xfId="0" applyNumberFormat="1" applyFont="1" applyBorder="1" applyAlignment="1">
      <alignment horizontal="center" vertical="center" wrapText="1"/>
    </xf>
    <xf numFmtId="0" fontId="62" fillId="0" borderId="0" xfId="54" applyFont="1"/>
    <xf numFmtId="0" fontId="64" fillId="0" borderId="21" xfId="0" applyFont="1" applyBorder="1" applyAlignment="1">
      <alignment horizontal="center" vertical="center" wrapText="1"/>
    </xf>
    <xf numFmtId="4" fontId="64" fillId="15" borderId="19" xfId="0" applyNumberFormat="1" applyFont="1" applyFill="1" applyBorder="1" applyAlignment="1">
      <alignment horizontal="right" wrapText="1"/>
    </xf>
    <xf numFmtId="0" fontId="63" fillId="39" borderId="22" xfId="0" applyFont="1" applyFill="1" applyBorder="1" applyAlignment="1">
      <alignment horizontal="center"/>
    </xf>
    <xf numFmtId="0" fontId="63" fillId="39" borderId="23" xfId="0" applyFont="1" applyFill="1" applyBorder="1" applyAlignment="1">
      <alignment horizontal="center"/>
    </xf>
    <xf numFmtId="0" fontId="61" fillId="6" borderId="0" xfId="3" applyFont="1" applyFill="1" applyAlignment="1">
      <alignment vertical="top"/>
    </xf>
    <xf numFmtId="171" fontId="64" fillId="0" borderId="0" xfId="0" applyNumberFormat="1" applyFont="1"/>
    <xf numFmtId="0" fontId="63" fillId="0" borderId="7" xfId="0" applyFont="1" applyBorder="1" applyAlignment="1">
      <alignment wrapText="1"/>
    </xf>
    <xf numFmtId="0" fontId="63" fillId="0" borderId="7" xfId="0" applyFont="1" applyBorder="1" applyAlignment="1">
      <alignment horizontal="center" vertical="center"/>
    </xf>
    <xf numFmtId="167" fontId="63" fillId="0" borderId="7" xfId="0" applyNumberFormat="1" applyFont="1" applyBorder="1" applyAlignment="1">
      <alignment vertical="center"/>
    </xf>
    <xf numFmtId="11" fontId="63" fillId="0" borderId="7" xfId="0" applyNumberFormat="1" applyFont="1" applyBorder="1" applyAlignment="1">
      <alignment vertical="center"/>
    </xf>
    <xf numFmtId="167" fontId="67" fillId="0" borderId="7" xfId="0" applyNumberFormat="1" applyFont="1" applyBorder="1" applyAlignment="1">
      <alignment vertical="center"/>
    </xf>
    <xf numFmtId="3" fontId="63" fillId="0" borderId="7" xfId="0" applyNumberFormat="1" applyFont="1" applyBorder="1" applyAlignment="1">
      <alignment vertical="center"/>
    </xf>
    <xf numFmtId="3" fontId="63" fillId="0" borderId="0" xfId="0" applyNumberFormat="1" applyFont="1" applyAlignment="1">
      <alignment horizontal="center" vertical="center"/>
    </xf>
    <xf numFmtId="167" fontId="63" fillId="0" borderId="0" xfId="0" applyNumberFormat="1" applyFont="1" applyAlignment="1">
      <alignment vertical="center"/>
    </xf>
    <xf numFmtId="11" fontId="63" fillId="0" borderId="0" xfId="0" applyNumberFormat="1" applyFont="1" applyAlignment="1">
      <alignment vertical="center"/>
    </xf>
    <xf numFmtId="167" fontId="67" fillId="0" borderId="0" xfId="0" applyNumberFormat="1" applyFont="1" applyAlignment="1">
      <alignment vertical="center"/>
    </xf>
    <xf numFmtId="3" fontId="63" fillId="0" borderId="0" xfId="0" applyNumberFormat="1" applyFont="1" applyAlignment="1">
      <alignment vertical="center"/>
    </xf>
    <xf numFmtId="2" fontId="63" fillId="0" borderId="0" xfId="0" applyNumberFormat="1" applyFont="1" applyAlignment="1">
      <alignment vertical="center"/>
    </xf>
    <xf numFmtId="4" fontId="68" fillId="0" borderId="3" xfId="0" applyNumberFormat="1" applyFont="1" applyBorder="1" applyAlignment="1">
      <alignment vertical="center"/>
    </xf>
    <xf numFmtId="11" fontId="63" fillId="0" borderId="7" xfId="0" applyNumberFormat="1" applyFont="1" applyBorder="1" applyAlignment="1">
      <alignment wrapText="1"/>
    </xf>
    <xf numFmtId="2" fontId="63" fillId="0" borderId="7" xfId="0" applyNumberFormat="1" applyFont="1" applyBorder="1" applyAlignment="1">
      <alignment vertical="center" wrapText="1"/>
    </xf>
    <xf numFmtId="2" fontId="63" fillId="0" borderId="0" xfId="0" applyNumberFormat="1" applyFont="1" applyAlignment="1">
      <alignment vertical="center" wrapText="1"/>
    </xf>
    <xf numFmtId="0" fontId="63" fillId="0" borderId="7" xfId="0" applyFont="1" applyBorder="1"/>
    <xf numFmtId="2" fontId="63" fillId="0" borderId="7" xfId="0" applyNumberFormat="1" applyFont="1" applyBorder="1" applyAlignment="1">
      <alignment vertical="center"/>
    </xf>
    <xf numFmtId="0" fontId="63" fillId="0" borderId="8" xfId="0" applyFont="1" applyBorder="1" applyAlignment="1">
      <alignment horizontal="center" vertical="center"/>
    </xf>
    <xf numFmtId="0" fontId="63" fillId="0" borderId="0" xfId="0" applyFont="1" applyAlignment="1">
      <alignment horizontal="center" wrapText="1"/>
    </xf>
    <xf numFmtId="0" fontId="63" fillId="0" borderId="7" xfId="0" applyFont="1" applyBorder="1" applyAlignment="1">
      <alignment horizontal="center"/>
    </xf>
    <xf numFmtId="167" fontId="67" fillId="0" borderId="7" xfId="0" applyNumberFormat="1" applyFont="1" applyBorder="1"/>
    <xf numFmtId="0" fontId="63" fillId="0" borderId="7" xfId="0" applyFont="1" applyBorder="1" applyAlignment="1">
      <alignment vertical="center"/>
    </xf>
    <xf numFmtId="0" fontId="61" fillId="6" borderId="102" xfId="17" applyFont="1" applyFill="1" applyBorder="1" applyAlignment="1">
      <alignment horizontal="center" vertical="center" wrapText="1"/>
    </xf>
    <xf numFmtId="0" fontId="61" fillId="6" borderId="106" xfId="17" applyFont="1" applyFill="1" applyBorder="1" applyAlignment="1">
      <alignment horizontal="center" vertical="center" wrapText="1"/>
    </xf>
    <xf numFmtId="0" fontId="61" fillId="6" borderId="107" xfId="17" applyFont="1" applyFill="1" applyBorder="1" applyAlignment="1">
      <alignment horizontal="center" vertical="center" wrapText="1"/>
    </xf>
    <xf numFmtId="2" fontId="67" fillId="0" borderId="0" xfId="0" applyNumberFormat="1" applyFont="1" applyAlignment="1">
      <alignment vertical="center"/>
    </xf>
    <xf numFmtId="2" fontId="63" fillId="0" borderId="0" xfId="0" applyNumberFormat="1" applyFont="1" applyAlignment="1">
      <alignment horizontal="center" vertical="center"/>
    </xf>
    <xf numFmtId="2" fontId="63" fillId="0" borderId="0" xfId="0" applyNumberFormat="1" applyFont="1" applyAlignment="1">
      <alignment horizontal="center"/>
    </xf>
    <xf numFmtId="0" fontId="64" fillId="26" borderId="69" xfId="3" applyFont="1" applyFill="1" applyBorder="1" applyAlignment="1">
      <alignment horizontal="center" vertical="center" wrapText="1"/>
    </xf>
    <xf numFmtId="0" fontId="64" fillId="26" borderId="69" xfId="3" applyFont="1" applyFill="1" applyBorder="1" applyAlignment="1">
      <alignment horizontal="left" vertical="center" wrapText="1"/>
    </xf>
    <xf numFmtId="3" fontId="62" fillId="10" borderId="69" xfId="16" applyNumberFormat="1" applyFont="1" applyFill="1" applyBorder="1" applyAlignment="1">
      <alignment horizontal="center" vertical="center" wrapText="1"/>
    </xf>
    <xf numFmtId="3" fontId="62" fillId="9" borderId="69" xfId="16" applyNumberFormat="1" applyFont="1" applyFill="1" applyBorder="1" applyAlignment="1">
      <alignment horizontal="center" vertical="center" wrapText="1"/>
    </xf>
    <xf numFmtId="10" fontId="62" fillId="9" borderId="69" xfId="16" applyNumberFormat="1" applyFont="1" applyFill="1" applyBorder="1" applyAlignment="1">
      <alignment vertical="center" wrapText="1"/>
    </xf>
    <xf numFmtId="10" fontId="62" fillId="9" borderId="69" xfId="16" applyNumberFormat="1" applyFont="1" applyFill="1" applyBorder="1" applyAlignment="1">
      <alignment horizontal="center" vertical="center" wrapText="1"/>
    </xf>
    <xf numFmtId="0" fontId="61" fillId="6" borderId="40" xfId="17" applyFont="1" applyFill="1" applyBorder="1" applyAlignment="1">
      <alignment horizontal="center" vertical="center" wrapText="1"/>
    </xf>
    <xf numFmtId="0" fontId="61" fillId="6" borderId="17" xfId="17" applyFont="1" applyFill="1" applyBorder="1" applyAlignment="1">
      <alignment horizontal="center" vertical="center" wrapText="1"/>
    </xf>
    <xf numFmtId="0" fontId="61" fillId="6" borderId="94" xfId="17" applyFont="1" applyFill="1" applyBorder="1" applyAlignment="1">
      <alignment horizontal="center" vertical="center" wrapText="1"/>
    </xf>
    <xf numFmtId="0" fontId="62" fillId="10" borderId="74" xfId="17" applyFont="1" applyFill="1" applyBorder="1" applyAlignment="1">
      <alignment wrapText="1"/>
    </xf>
    <xf numFmtId="3" fontId="62" fillId="10" borderId="46" xfId="16" applyNumberFormat="1" applyFont="1" applyFill="1" applyBorder="1" applyAlignment="1">
      <alignment horizontal="center" vertical="center" wrapText="1"/>
    </xf>
    <xf numFmtId="3" fontId="62" fillId="10" borderId="54" xfId="16" applyNumberFormat="1" applyFont="1" applyFill="1" applyBorder="1" applyAlignment="1">
      <alignment horizontal="center" vertical="center" wrapText="1"/>
    </xf>
    <xf numFmtId="10" fontId="62" fillId="9" borderId="46" xfId="16" applyNumberFormat="1" applyFont="1" applyFill="1" applyBorder="1" applyAlignment="1">
      <alignment horizontal="center" vertical="center" wrapText="1"/>
    </xf>
    <xf numFmtId="10" fontId="62" fillId="9" borderId="54" xfId="16" applyNumberFormat="1" applyFont="1" applyFill="1" applyBorder="1" applyAlignment="1">
      <alignment horizontal="center" vertical="center" wrapText="1"/>
    </xf>
    <xf numFmtId="10" fontId="62" fillId="10" borderId="54" xfId="16" applyNumberFormat="1" applyFont="1" applyFill="1" applyBorder="1" applyAlignment="1">
      <alignment horizontal="center" vertical="center" wrapText="1"/>
    </xf>
    <xf numFmtId="0" fontId="64" fillId="26" borderId="90" xfId="3" applyFont="1" applyFill="1" applyBorder="1" applyAlignment="1">
      <alignment horizontal="center" vertical="center" wrapText="1"/>
    </xf>
    <xf numFmtId="0" fontId="64" fillId="26" borderId="91" xfId="3" applyFont="1" applyFill="1" applyBorder="1" applyAlignment="1">
      <alignment horizontal="left" vertical="center" wrapText="1"/>
    </xf>
    <xf numFmtId="0" fontId="62" fillId="10" borderId="92" xfId="17" applyFont="1" applyFill="1" applyBorder="1" applyAlignment="1">
      <alignment wrapText="1"/>
    </xf>
    <xf numFmtId="0" fontId="64" fillId="26" borderId="46" xfId="3" applyFont="1" applyFill="1" applyBorder="1" applyAlignment="1">
      <alignment horizontal="center" vertical="center" wrapText="1"/>
    </xf>
    <xf numFmtId="0" fontId="62" fillId="10" borderId="54" xfId="17" applyFont="1" applyFill="1" applyBorder="1" applyAlignment="1">
      <alignment wrapText="1"/>
    </xf>
    <xf numFmtId="0" fontId="64" fillId="26" borderId="48" xfId="3" applyFont="1" applyFill="1" applyBorder="1" applyAlignment="1">
      <alignment horizontal="center" vertical="center" wrapText="1"/>
    </xf>
    <xf numFmtId="3" fontId="62" fillId="9" borderId="46" xfId="16" applyNumberFormat="1" applyFont="1" applyFill="1" applyBorder="1" applyAlignment="1">
      <alignment horizontal="center" vertical="center" wrapText="1"/>
    </xf>
    <xf numFmtId="3" fontId="62" fillId="0" borderId="46" xfId="0" applyNumberFormat="1" applyFont="1" applyBorder="1" applyAlignment="1">
      <alignment horizontal="center" vertical="center"/>
    </xf>
    <xf numFmtId="3" fontId="62" fillId="0" borderId="74" xfId="0" applyNumberFormat="1" applyFont="1" applyBorder="1" applyAlignment="1">
      <alignment horizontal="center" vertical="center"/>
    </xf>
    <xf numFmtId="3" fontId="70" fillId="26" borderId="109" xfId="0" applyNumberFormat="1" applyFont="1" applyFill="1" applyBorder="1" applyAlignment="1">
      <alignment horizontal="center"/>
    </xf>
    <xf numFmtId="0" fontId="63" fillId="0" borderId="20" xfId="0" applyFont="1" applyBorder="1"/>
    <xf numFmtId="0" fontId="62" fillId="0" borderId="20" xfId="0" applyFont="1" applyBorder="1"/>
    <xf numFmtId="3" fontId="70" fillId="26" borderId="87" xfId="0" applyNumberFormat="1" applyFont="1" applyFill="1" applyBorder="1" applyAlignment="1">
      <alignment horizontal="center"/>
    </xf>
    <xf numFmtId="166" fontId="63" fillId="0" borderId="20" xfId="0" applyNumberFormat="1" applyFont="1" applyBorder="1"/>
    <xf numFmtId="0" fontId="62" fillId="32" borderId="0" xfId="0" applyFont="1" applyFill="1" applyAlignment="1">
      <alignment horizontal="center" vertical="center"/>
    </xf>
    <xf numFmtId="0" fontId="62" fillId="32" borderId="0" xfId="0" applyFont="1" applyFill="1"/>
    <xf numFmtId="3" fontId="62" fillId="23" borderId="0" xfId="0" applyNumberFormat="1" applyFont="1" applyFill="1"/>
    <xf numFmtId="0" fontId="62" fillId="23" borderId="0" xfId="0" applyFont="1" applyFill="1"/>
    <xf numFmtId="3" fontId="70" fillId="26" borderId="11" xfId="0" applyNumberFormat="1" applyFont="1" applyFill="1" applyBorder="1"/>
    <xf numFmtId="0" fontId="62" fillId="32" borderId="20" xfId="0" applyFont="1" applyFill="1" applyBorder="1" applyAlignment="1">
      <alignment horizontal="center"/>
    </xf>
    <xf numFmtId="3" fontId="62" fillId="0" borderId="20" xfId="0" applyNumberFormat="1" applyFont="1" applyBorder="1"/>
    <xf numFmtId="3" fontId="62" fillId="23" borderId="20" xfId="0" applyNumberFormat="1" applyFont="1" applyFill="1" applyBorder="1"/>
    <xf numFmtId="3" fontId="70" fillId="26" borderId="21" xfId="0" applyNumberFormat="1" applyFont="1" applyFill="1" applyBorder="1"/>
    <xf numFmtId="0" fontId="62" fillId="32" borderId="20" xfId="0" applyFont="1" applyFill="1" applyBorder="1"/>
    <xf numFmtId="0" fontId="71" fillId="0" borderId="20" xfId="0" applyFont="1" applyBorder="1"/>
    <xf numFmtId="0" fontId="71" fillId="23" borderId="20" xfId="0" applyFont="1" applyFill="1" applyBorder="1"/>
    <xf numFmtId="0" fontId="70" fillId="26" borderId="21" xfId="0" applyFont="1" applyFill="1" applyBorder="1"/>
    <xf numFmtId="3" fontId="62" fillId="0" borderId="21" xfId="0" applyNumberFormat="1" applyFont="1" applyBorder="1"/>
    <xf numFmtId="0" fontId="61" fillId="6" borderId="15" xfId="44" applyFont="1" applyFill="1" applyBorder="1"/>
    <xf numFmtId="0" fontId="61" fillId="6" borderId="14" xfId="44" applyFont="1" applyFill="1" applyBorder="1"/>
    <xf numFmtId="0" fontId="72" fillId="6" borderId="14" xfId="44" applyFont="1" applyFill="1" applyBorder="1"/>
    <xf numFmtId="4" fontId="72" fillId="6" borderId="14" xfId="44" applyNumberFormat="1" applyFont="1" applyFill="1" applyBorder="1"/>
    <xf numFmtId="4" fontId="74" fillId="10" borderId="0" xfId="37" applyNumberFormat="1" applyFont="1" applyFill="1" applyBorder="1"/>
    <xf numFmtId="0" fontId="63" fillId="0" borderId="7" xfId="0" applyFont="1" applyBorder="1" applyAlignment="1">
      <alignment vertical="center" wrapText="1"/>
    </xf>
    <xf numFmtId="11" fontId="63" fillId="0" borderId="7" xfId="0" applyNumberFormat="1" applyFont="1" applyBorder="1" applyAlignment="1">
      <alignment vertical="center" wrapText="1"/>
    </xf>
    <xf numFmtId="0" fontId="63" fillId="0" borderId="0" xfId="0" applyFont="1" applyAlignment="1">
      <alignment vertical="center" wrapText="1"/>
    </xf>
    <xf numFmtId="11" fontId="63" fillId="0" borderId="0" xfId="0" applyNumberFormat="1" applyFont="1" applyAlignment="1">
      <alignment vertical="center" wrapText="1"/>
    </xf>
    <xf numFmtId="3" fontId="62" fillId="0" borderId="3" xfId="0" applyNumberFormat="1" applyFont="1" applyBorder="1"/>
    <xf numFmtId="0" fontId="71" fillId="0" borderId="21" xfId="0" applyFont="1" applyBorder="1"/>
    <xf numFmtId="0" fontId="63" fillId="0" borderId="0" xfId="0" applyFont="1" applyAlignment="1">
      <alignment horizontal="center" vertical="center" wrapText="1"/>
    </xf>
    <xf numFmtId="0" fontId="63" fillId="0" borderId="0" xfId="0" applyFont="1" applyAlignment="1">
      <alignment horizontal="left" vertical="top"/>
    </xf>
    <xf numFmtId="39" fontId="62" fillId="10" borderId="76" xfId="17" applyNumberFormat="1" applyFont="1" applyFill="1" applyBorder="1" applyAlignment="1">
      <alignment wrapText="1"/>
    </xf>
    <xf numFmtId="39" fontId="62" fillId="10" borderId="95" xfId="17" applyNumberFormat="1" applyFont="1" applyFill="1" applyBorder="1" applyAlignment="1">
      <alignment wrapText="1"/>
    </xf>
    <xf numFmtId="3" fontId="61" fillId="6" borderId="0" xfId="17" applyNumberFormat="1" applyFont="1" applyFill="1" applyAlignment="1">
      <alignment wrapText="1"/>
    </xf>
    <xf numFmtId="175" fontId="62" fillId="0" borderId="97" xfId="16" applyNumberFormat="1" applyFont="1" applyBorder="1" applyAlignment="1">
      <alignment horizontal="center" vertical="center"/>
    </xf>
    <xf numFmtId="0" fontId="70" fillId="0" borderId="0" xfId="0" applyFont="1" applyAlignment="1">
      <alignment horizontal="center" wrapText="1"/>
    </xf>
    <xf numFmtId="0" fontId="62" fillId="0" borderId="0" xfId="0" applyFont="1" applyAlignment="1">
      <alignment horizontal="center" vertical="center" wrapText="1"/>
    </xf>
    <xf numFmtId="3" fontId="72" fillId="0" borderId="0" xfId="0" applyNumberFormat="1" applyFont="1"/>
    <xf numFmtId="4" fontId="64" fillId="0" borderId="21" xfId="0" applyNumberFormat="1" applyFont="1" applyBorder="1"/>
    <xf numFmtId="0" fontId="63" fillId="0" borderId="11" xfId="0" applyFont="1" applyBorder="1" applyAlignment="1">
      <alignment wrapText="1"/>
    </xf>
    <xf numFmtId="0" fontId="63" fillId="0" borderId="11" xfId="0" applyFont="1" applyBorder="1" applyAlignment="1">
      <alignment horizontal="center" vertical="center"/>
    </xf>
    <xf numFmtId="0" fontId="63" fillId="0" borderId="11" xfId="0" applyFont="1" applyBorder="1" applyAlignment="1">
      <alignment vertical="center" wrapText="1"/>
    </xf>
    <xf numFmtId="11" fontId="63" fillId="0" borderId="11" xfId="0" applyNumberFormat="1" applyFont="1" applyBorder="1" applyAlignment="1">
      <alignment vertical="center" wrapText="1"/>
    </xf>
    <xf numFmtId="167" fontId="63" fillId="0" borderId="11" xfId="0" applyNumberFormat="1" applyFont="1" applyBorder="1" applyAlignment="1">
      <alignment vertical="center"/>
    </xf>
    <xf numFmtId="11" fontId="63" fillId="0" borderId="11" xfId="0" applyNumberFormat="1" applyFont="1" applyBorder="1" applyAlignment="1">
      <alignment vertical="center"/>
    </xf>
    <xf numFmtId="167" fontId="67" fillId="0" borderId="11" xfId="0" applyNumberFormat="1" applyFont="1" applyBorder="1" applyAlignment="1">
      <alignment vertical="center"/>
    </xf>
    <xf numFmtId="2" fontId="63" fillId="0" borderId="11" xfId="0" applyNumberFormat="1" applyFont="1" applyBorder="1" applyAlignment="1">
      <alignment vertical="center" wrapText="1"/>
    </xf>
    <xf numFmtId="0" fontId="63" fillId="0" borderId="11" xfId="0" applyFont="1" applyBorder="1"/>
    <xf numFmtId="2" fontId="63" fillId="0" borderId="11" xfId="0" applyNumberFormat="1" applyFont="1" applyBorder="1" applyAlignment="1">
      <alignment vertical="center"/>
    </xf>
    <xf numFmtId="0" fontId="63" fillId="0" borderId="11" xfId="0" applyFont="1" applyBorder="1" applyAlignment="1">
      <alignment horizontal="center"/>
    </xf>
    <xf numFmtId="167" fontId="67" fillId="0" borderId="11" xfId="0" applyNumberFormat="1" applyFont="1" applyBorder="1"/>
    <xf numFmtId="0" fontId="63" fillId="0" borderId="11" xfId="0" applyFont="1" applyBorder="1" applyAlignment="1">
      <alignment vertical="center"/>
    </xf>
    <xf numFmtId="11" fontId="63" fillId="0" borderId="11" xfId="0" applyNumberFormat="1" applyFont="1" applyBorder="1" applyAlignment="1">
      <alignment wrapText="1"/>
    </xf>
    <xf numFmtId="0" fontId="26" fillId="0" borderId="0" xfId="34" applyAlignment="1" applyProtection="1"/>
    <xf numFmtId="3" fontId="63" fillId="0" borderId="11" xfId="0" applyNumberFormat="1" applyFont="1" applyBorder="1" applyAlignment="1">
      <alignment vertical="center"/>
    </xf>
    <xf numFmtId="0" fontId="63" fillId="0" borderId="60" xfId="0" applyFont="1" applyBorder="1" applyAlignment="1">
      <alignment horizontal="center" vertical="center"/>
    </xf>
    <xf numFmtId="0" fontId="63" fillId="0" borderId="60" xfId="0" applyFont="1" applyBorder="1" applyAlignment="1">
      <alignment horizontal="center" vertical="center" wrapText="1"/>
    </xf>
    <xf numFmtId="0" fontId="63" fillId="0" borderId="70" xfId="0" applyFont="1" applyBorder="1" applyAlignment="1">
      <alignment horizontal="center" vertical="center"/>
    </xf>
    <xf numFmtId="0" fontId="64" fillId="0" borderId="76" xfId="0" applyFont="1" applyBorder="1" applyAlignment="1">
      <alignment vertical="center"/>
    </xf>
    <xf numFmtId="0" fontId="64" fillId="0" borderId="75" xfId="0" applyFont="1" applyBorder="1" applyAlignment="1">
      <alignment vertical="center"/>
    </xf>
    <xf numFmtId="0" fontId="63" fillId="49" borderId="74" xfId="0" applyFont="1" applyFill="1" applyBorder="1" applyAlignment="1">
      <alignment horizontal="right" vertical="center" indent="1"/>
    </xf>
    <xf numFmtId="0" fontId="63" fillId="49" borderId="69" xfId="0" applyFont="1" applyFill="1" applyBorder="1" applyAlignment="1">
      <alignment vertical="center"/>
    </xf>
    <xf numFmtId="0" fontId="63" fillId="0" borderId="17" xfId="0" applyFont="1" applyBorder="1" applyAlignment="1">
      <alignment horizontal="center" vertical="center"/>
    </xf>
    <xf numFmtId="0" fontId="63" fillId="0" borderId="70" xfId="0" applyFont="1" applyBorder="1" applyAlignment="1">
      <alignment horizontal="center" vertical="top" wrapText="1"/>
    </xf>
    <xf numFmtId="0" fontId="63" fillId="0" borderId="116" xfId="0" applyFont="1" applyBorder="1" applyAlignment="1">
      <alignment vertical="center"/>
    </xf>
    <xf numFmtId="0" fontId="63" fillId="0" borderId="116" xfId="0" applyFont="1" applyBorder="1" applyAlignment="1">
      <alignment horizontal="center" vertical="center"/>
    </xf>
    <xf numFmtId="0" fontId="63" fillId="0" borderId="119" xfId="0" applyFont="1" applyBorder="1" applyAlignment="1">
      <alignment vertical="center"/>
    </xf>
    <xf numFmtId="0" fontId="63" fillId="50" borderId="119" xfId="0" applyFont="1" applyFill="1" applyBorder="1" applyAlignment="1">
      <alignment vertical="center"/>
    </xf>
    <xf numFmtId="0" fontId="63" fillId="0" borderId="122" xfId="0" applyFont="1" applyBorder="1" applyAlignment="1">
      <alignment vertical="center"/>
    </xf>
    <xf numFmtId="0" fontId="63" fillId="0" borderId="69" xfId="0" applyFont="1" applyBorder="1" applyAlignment="1">
      <alignment vertical="center"/>
    </xf>
    <xf numFmtId="0" fontId="61" fillId="51" borderId="0" xfId="0" applyFont="1" applyFill="1"/>
    <xf numFmtId="0" fontId="63" fillId="0" borderId="70" xfId="0" applyFont="1" applyBorder="1" applyAlignment="1">
      <alignment horizontal="center" vertical="center" wrapText="1"/>
    </xf>
    <xf numFmtId="176" fontId="63" fillId="0" borderId="119" xfId="0" applyNumberFormat="1" applyFont="1" applyBorder="1" applyAlignment="1">
      <alignment vertical="center"/>
    </xf>
    <xf numFmtId="178" fontId="63" fillId="0" borderId="119" xfId="0" applyNumberFormat="1" applyFont="1" applyBorder="1" applyAlignment="1">
      <alignment vertical="center"/>
    </xf>
    <xf numFmtId="178" fontId="63" fillId="0" borderId="69" xfId="0" applyNumberFormat="1" applyFont="1" applyBorder="1" applyAlignment="1">
      <alignment vertical="center"/>
    </xf>
    <xf numFmtId="178" fontId="63" fillId="0" borderId="116" xfId="0" applyNumberFormat="1" applyFont="1" applyBorder="1" applyAlignment="1">
      <alignment vertical="center"/>
    </xf>
    <xf numFmtId="0" fontId="64" fillId="0" borderId="74" xfId="0" applyFont="1" applyBorder="1" applyAlignment="1">
      <alignment vertical="center"/>
    </xf>
    <xf numFmtId="0" fontId="63" fillId="49" borderId="60" xfId="0" applyFont="1" applyFill="1" applyBorder="1" applyAlignment="1">
      <alignment vertical="center"/>
    </xf>
    <xf numFmtId="177" fontId="63" fillId="0" borderId="69" xfId="0" applyNumberFormat="1" applyFont="1" applyBorder="1" applyAlignment="1">
      <alignment horizontal="right" vertical="center"/>
    </xf>
    <xf numFmtId="178" fontId="63" fillId="0" borderId="69" xfId="0" applyNumberFormat="1" applyFont="1" applyBorder="1" applyAlignment="1">
      <alignment horizontal="right" vertical="center"/>
    </xf>
    <xf numFmtId="0" fontId="64" fillId="0" borderId="0" xfId="0" applyFont="1" applyAlignment="1">
      <alignment vertical="center"/>
    </xf>
    <xf numFmtId="0" fontId="61" fillId="53" borderId="0" xfId="0" applyFont="1" applyFill="1"/>
    <xf numFmtId="17" fontId="63" fillId="0" borderId="60" xfId="0" applyNumberFormat="1" applyFont="1" applyBorder="1" applyAlignment="1">
      <alignment horizontal="center" vertical="center" wrapText="1"/>
    </xf>
    <xf numFmtId="17" fontId="63" fillId="0" borderId="116" xfId="0" quotePrefix="1" applyNumberFormat="1" applyFont="1" applyBorder="1" applyAlignment="1">
      <alignment horizontal="center" vertical="center"/>
    </xf>
    <xf numFmtId="0" fontId="63" fillId="0" borderId="119" xfId="0" applyFont="1" applyBorder="1" applyAlignment="1">
      <alignment vertical="center" wrapText="1"/>
    </xf>
    <xf numFmtId="0" fontId="63" fillId="0" borderId="119" xfId="0" applyFont="1" applyBorder="1" applyAlignment="1">
      <alignment horizontal="right" vertical="center"/>
    </xf>
    <xf numFmtId="0" fontId="63" fillId="0" borderId="69" xfId="0" applyFont="1" applyBorder="1" applyAlignment="1">
      <alignment vertical="center" wrapText="1"/>
    </xf>
    <xf numFmtId="0" fontId="63" fillId="52" borderId="119" xfId="0" applyFont="1" applyFill="1" applyBorder="1" applyAlignment="1">
      <alignment vertical="center"/>
    </xf>
    <xf numFmtId="178" fontId="63" fillId="52" borderId="119" xfId="0" applyNumberFormat="1" applyFont="1" applyFill="1" applyBorder="1" applyAlignment="1">
      <alignment vertical="center"/>
    </xf>
    <xf numFmtId="178" fontId="63" fillId="0" borderId="119" xfId="0" applyNumberFormat="1" applyFont="1" applyBorder="1" applyAlignment="1">
      <alignment horizontal="right" vertical="center"/>
    </xf>
    <xf numFmtId="0" fontId="63" fillId="0" borderId="123" xfId="0" applyFont="1" applyBorder="1" applyAlignment="1">
      <alignment vertical="center" wrapText="1"/>
    </xf>
    <xf numFmtId="0" fontId="63" fillId="0" borderId="116" xfId="0" applyFont="1" applyBorder="1" applyAlignment="1">
      <alignment vertical="center" wrapText="1"/>
    </xf>
    <xf numFmtId="178" fontId="63" fillId="0" borderId="123" xfId="0" applyNumberFormat="1" applyFont="1" applyBorder="1" applyAlignment="1">
      <alignment horizontal="right" vertical="center"/>
    </xf>
    <xf numFmtId="178" fontId="63" fillId="0" borderId="116" xfId="0" applyNumberFormat="1" applyFont="1" applyBorder="1" applyAlignment="1">
      <alignment horizontal="right" vertical="center"/>
    </xf>
    <xf numFmtId="0" fontId="61" fillId="0" borderId="0" xfId="24" applyFont="1"/>
    <xf numFmtId="9" fontId="63" fillId="0" borderId="119" xfId="0" applyNumberFormat="1" applyFont="1" applyBorder="1" applyAlignment="1">
      <alignment vertical="center"/>
    </xf>
    <xf numFmtId="0" fontId="63" fillId="24" borderId="69" xfId="0" applyFont="1" applyFill="1" applyBorder="1" applyAlignment="1">
      <alignment horizontal="right" vertical="center"/>
    </xf>
    <xf numFmtId="0" fontId="63" fillId="24" borderId="119" xfId="0" applyFont="1" applyFill="1" applyBorder="1" applyAlignment="1">
      <alignment horizontal="right" vertical="center"/>
    </xf>
    <xf numFmtId="0" fontId="63" fillId="24" borderId="60" xfId="0" applyFont="1" applyFill="1" applyBorder="1" applyAlignment="1">
      <alignment horizontal="right" vertical="center"/>
    </xf>
    <xf numFmtId="0" fontId="63" fillId="24" borderId="116" xfId="0" applyFont="1" applyFill="1" applyBorder="1" applyAlignment="1">
      <alignment horizontal="right" vertical="center"/>
    </xf>
    <xf numFmtId="1" fontId="63" fillId="0" borderId="0" xfId="0" applyNumberFormat="1" applyFont="1" applyAlignment="1">
      <alignment vertical="center"/>
    </xf>
    <xf numFmtId="1" fontId="67" fillId="0" borderId="0" xfId="0" applyNumberFormat="1" applyFont="1"/>
    <xf numFmtId="0" fontId="61" fillId="25" borderId="0" xfId="24" applyFont="1" applyFill="1" applyAlignment="1">
      <alignment horizontal="center" vertical="center"/>
    </xf>
    <xf numFmtId="0" fontId="72" fillId="6" borderId="0" xfId="0" applyFont="1" applyFill="1" applyAlignment="1">
      <alignment horizontal="center" vertical="center"/>
    </xf>
    <xf numFmtId="0" fontId="63" fillId="20" borderId="0" xfId="0" applyFont="1" applyFill="1" applyAlignment="1">
      <alignment horizontal="center" vertical="center"/>
    </xf>
    <xf numFmtId="0" fontId="64" fillId="0" borderId="69" xfId="13" applyFont="1" applyBorder="1"/>
    <xf numFmtId="2" fontId="63" fillId="0" borderId="69" xfId="21" applyNumberFormat="1" applyFont="1" applyBorder="1" applyAlignment="1">
      <alignment horizontal="center" vertical="center"/>
    </xf>
    <xf numFmtId="0" fontId="70" fillId="0" borderId="69" xfId="21" applyFont="1" applyBorder="1"/>
    <xf numFmtId="0" fontId="111" fillId="0" borderId="69" xfId="21" applyFont="1" applyBorder="1" applyAlignment="1">
      <alignment horizontal="right"/>
    </xf>
    <xf numFmtId="0" fontId="111" fillId="0" borderId="69" xfId="13" applyFont="1" applyBorder="1" applyAlignment="1">
      <alignment horizontal="right"/>
    </xf>
    <xf numFmtId="2" fontId="63" fillId="10" borderId="69" xfId="21" applyNumberFormat="1" applyFont="1" applyFill="1" applyBorder="1" applyAlignment="1">
      <alignment horizontal="center" vertical="center"/>
    </xf>
    <xf numFmtId="2" fontId="62" fillId="10" borderId="69" xfId="21" applyNumberFormat="1" applyFont="1" applyFill="1" applyBorder="1" applyAlignment="1">
      <alignment horizontal="center" vertical="center"/>
    </xf>
    <xf numFmtId="0" fontId="62" fillId="0" borderId="0" xfId="21" applyFont="1" applyAlignment="1">
      <alignment wrapText="1"/>
    </xf>
    <xf numFmtId="0" fontId="62" fillId="0" borderId="0" xfId="44" applyFont="1"/>
    <xf numFmtId="0" fontId="62" fillId="0" borderId="0" xfId="3" applyFont="1" applyAlignment="1">
      <alignment vertical="top"/>
    </xf>
    <xf numFmtId="0" fontId="62" fillId="0" borderId="69" xfId="3" applyFont="1" applyBorder="1" applyAlignment="1">
      <alignment horizontal="center" vertical="center" wrapText="1"/>
    </xf>
    <xf numFmtId="0" fontId="62" fillId="0" borderId="60" xfId="3" applyFont="1" applyBorder="1" applyAlignment="1">
      <alignment horizontal="center" vertical="top"/>
    </xf>
    <xf numFmtId="2" fontId="63" fillId="0" borderId="69" xfId="44" applyNumberFormat="1" applyFont="1" applyBorder="1" applyProtection="1">
      <protection locked="0"/>
    </xf>
    <xf numFmtId="1" fontId="62" fillId="0" borderId="69" xfId="3" applyNumberFormat="1" applyFont="1" applyBorder="1" applyAlignment="1">
      <alignment horizontal="center" vertical="top"/>
    </xf>
    <xf numFmtId="2" fontId="62" fillId="0" borderId="69" xfId="3" applyNumberFormat="1" applyFont="1" applyBorder="1" applyAlignment="1">
      <alignment horizontal="center" vertical="top"/>
    </xf>
    <xf numFmtId="0" fontId="72" fillId="0" borderId="0" xfId="44" applyFont="1"/>
    <xf numFmtId="4" fontId="72" fillId="6" borderId="16" xfId="44" applyNumberFormat="1" applyFont="1" applyFill="1" applyBorder="1"/>
    <xf numFmtId="4" fontId="70" fillId="10" borderId="0" xfId="37" applyNumberFormat="1" applyFont="1" applyFill="1" applyBorder="1"/>
    <xf numFmtId="4" fontId="62" fillId="10" borderId="0" xfId="7" applyNumberFormat="1" applyFont="1" applyFill="1" applyBorder="1"/>
    <xf numFmtId="4" fontId="62" fillId="10" borderId="0" xfId="44" applyNumberFormat="1" applyFont="1" applyFill="1"/>
    <xf numFmtId="0" fontId="14" fillId="10" borderId="0" xfId="0" applyFont="1" applyFill="1"/>
    <xf numFmtId="4" fontId="62" fillId="10" borderId="0" xfId="37" applyNumberFormat="1" applyFont="1" applyFill="1" applyBorder="1"/>
    <xf numFmtId="41" fontId="70" fillId="10" borderId="0" xfId="37" applyFont="1" applyFill="1" applyBorder="1"/>
    <xf numFmtId="166" fontId="62" fillId="0" borderId="0" xfId="0" applyNumberFormat="1" applyFont="1"/>
    <xf numFmtId="3" fontId="63" fillId="0" borderId="7" xfId="0" applyNumberFormat="1" applyFont="1" applyBorder="1" applyAlignment="1">
      <alignment horizontal="center" vertical="center"/>
    </xf>
    <xf numFmtId="0" fontId="62" fillId="0" borderId="0" xfId="44" applyFont="1" applyAlignment="1">
      <alignment horizontal="center" vertical="center"/>
    </xf>
    <xf numFmtId="3" fontId="62" fillId="0" borderId="0" xfId="44" applyNumberFormat="1" applyFont="1" applyAlignment="1">
      <alignment horizontal="center" vertical="center"/>
    </xf>
    <xf numFmtId="2" fontId="62" fillId="0" borderId="0" xfId="44" applyNumberFormat="1" applyFont="1" applyAlignment="1">
      <alignment horizontal="center" vertical="center"/>
    </xf>
    <xf numFmtId="0" fontId="61" fillId="42" borderId="0" xfId="44" applyFont="1" applyFill="1" applyAlignment="1">
      <alignment vertical="center"/>
    </xf>
    <xf numFmtId="0" fontId="113" fillId="42" borderId="0" xfId="44" applyFont="1" applyFill="1" applyAlignment="1">
      <alignment vertical="center"/>
    </xf>
    <xf numFmtId="0" fontId="72" fillId="42" borderId="0" xfId="44" applyFont="1" applyFill="1"/>
    <xf numFmtId="38" fontId="72" fillId="42" borderId="0" xfId="45" applyFont="1" applyFill="1" applyAlignment="1"/>
    <xf numFmtId="3" fontId="63" fillId="10" borderId="69" xfId="44" applyNumberFormat="1" applyFont="1" applyFill="1" applyBorder="1" applyProtection="1">
      <protection locked="0"/>
    </xf>
    <xf numFmtId="37" fontId="63" fillId="0" borderId="0" xfId="0" applyNumberFormat="1" applyFont="1"/>
    <xf numFmtId="0" fontId="63" fillId="24" borderId="119" xfId="0" applyFont="1" applyFill="1" applyBorder="1" applyAlignment="1">
      <alignment horizontal="center" vertical="center" wrapText="1"/>
    </xf>
    <xf numFmtId="0" fontId="63" fillId="24" borderId="119" xfId="0" applyFont="1" applyFill="1" applyBorder="1" applyAlignment="1">
      <alignment horizontal="center" vertical="center"/>
    </xf>
    <xf numFmtId="0" fontId="63" fillId="24" borderId="69" xfId="0" applyFont="1" applyFill="1" applyBorder="1" applyAlignment="1">
      <alignment horizontal="center" vertical="center"/>
    </xf>
    <xf numFmtId="0" fontId="63" fillId="24" borderId="123" xfId="0" applyFont="1" applyFill="1" applyBorder="1" applyAlignment="1">
      <alignment horizontal="center" vertical="center" wrapText="1"/>
    </xf>
    <xf numFmtId="0" fontId="63" fillId="24" borderId="123" xfId="0" applyFont="1" applyFill="1" applyBorder="1" applyAlignment="1">
      <alignment horizontal="center" vertical="center"/>
    </xf>
    <xf numFmtId="0" fontId="63" fillId="24" borderId="60" xfId="0" applyFont="1" applyFill="1" applyBorder="1" applyAlignment="1">
      <alignment horizontal="center" vertical="center"/>
    </xf>
    <xf numFmtId="0" fontId="63" fillId="0" borderId="117" xfId="0" applyFont="1" applyBorder="1" applyAlignment="1">
      <alignment vertical="center"/>
    </xf>
    <xf numFmtId="0" fontId="63" fillId="0" borderId="17" xfId="0" applyFont="1" applyBorder="1" applyAlignment="1">
      <alignment vertical="center" wrapText="1"/>
    </xf>
    <xf numFmtId="0" fontId="64" fillId="0" borderId="74" xfId="0" applyFont="1" applyBorder="1" applyAlignment="1">
      <alignment horizontal="left" vertical="center" indent="1"/>
    </xf>
    <xf numFmtId="0" fontId="64" fillId="0" borderId="75" xfId="0" applyFont="1" applyBorder="1" applyAlignment="1">
      <alignment horizontal="left" vertical="center" indent="1"/>
    </xf>
    <xf numFmtId="0" fontId="64" fillId="0" borderId="76" xfId="0" applyFont="1" applyBorder="1" applyAlignment="1">
      <alignment horizontal="left" vertical="center" indent="1"/>
    </xf>
    <xf numFmtId="0" fontId="63" fillId="0" borderId="17" xfId="0" applyFont="1" applyBorder="1" applyAlignment="1">
      <alignment vertical="center"/>
    </xf>
    <xf numFmtId="43" fontId="62" fillId="0" borderId="0" xfId="0" applyNumberFormat="1" applyFont="1"/>
    <xf numFmtId="166" fontId="63" fillId="0" borderId="0" xfId="0" applyNumberFormat="1" applyFont="1"/>
    <xf numFmtId="3" fontId="63" fillId="0" borderId="69" xfId="44" applyNumberFormat="1" applyFont="1" applyBorder="1" applyProtection="1">
      <protection locked="0"/>
    </xf>
    <xf numFmtId="0" fontId="72" fillId="54" borderId="0" xfId="0" applyFont="1" applyFill="1"/>
    <xf numFmtId="0" fontId="31" fillId="0" borderId="0" xfId="21" applyFont="1"/>
    <xf numFmtId="0" fontId="31" fillId="10" borderId="0" xfId="49" applyFont="1" applyFill="1" applyAlignment="1">
      <alignment horizontal="center"/>
    </xf>
    <xf numFmtId="0" fontId="31" fillId="0" borderId="33" xfId="0" applyFont="1" applyBorder="1" applyAlignment="1">
      <alignment horizontal="center" vertical="center"/>
    </xf>
    <xf numFmtId="0" fontId="31" fillId="0" borderId="37" xfId="0" applyFont="1" applyBorder="1" applyAlignment="1">
      <alignment horizontal="center" vertical="center"/>
    </xf>
    <xf numFmtId="0" fontId="31" fillId="0" borderId="69" xfId="51" applyFont="1" applyBorder="1" applyProtection="1">
      <protection locked="0"/>
    </xf>
    <xf numFmtId="3" fontId="31" fillId="6" borderId="0" xfId="0" applyNumberFormat="1" applyFont="1" applyFill="1"/>
    <xf numFmtId="3" fontId="31" fillId="0" borderId="0" xfId="0" applyNumberFormat="1" applyFont="1"/>
    <xf numFmtId="4" fontId="33" fillId="10" borderId="0" xfId="37" applyNumberFormat="1" applyFont="1" applyFill="1" applyBorder="1"/>
    <xf numFmtId="0" fontId="33" fillId="18" borderId="0" xfId="13" applyFont="1" applyFill="1"/>
    <xf numFmtId="179" fontId="62" fillId="9" borderId="69" xfId="16" applyNumberFormat="1" applyFont="1" applyFill="1" applyBorder="1" applyAlignment="1">
      <alignment horizontal="center" vertical="center" wrapText="1"/>
    </xf>
    <xf numFmtId="179" fontId="62" fillId="9" borderId="46" xfId="16" applyNumberFormat="1" applyFont="1" applyFill="1" applyBorder="1" applyAlignment="1">
      <alignment horizontal="center" vertical="center" wrapText="1"/>
    </xf>
    <xf numFmtId="179" fontId="62" fillId="9" borderId="54" xfId="16" applyNumberFormat="1" applyFont="1" applyFill="1" applyBorder="1" applyAlignment="1">
      <alignment horizontal="center" vertical="center" wrapText="1"/>
    </xf>
    <xf numFmtId="180" fontId="92" fillId="0" borderId="92" xfId="23" applyNumberFormat="1" applyFont="1" applyBorder="1" applyAlignment="1">
      <alignment horizontal="center"/>
    </xf>
    <xf numFmtId="180" fontId="92" fillId="0" borderId="54" xfId="23" applyNumberFormat="1" applyFont="1" applyBorder="1" applyAlignment="1">
      <alignment horizontal="center"/>
    </xf>
    <xf numFmtId="180" fontId="92" fillId="0" borderId="94" xfId="23" applyNumberFormat="1" applyFont="1" applyBorder="1" applyAlignment="1">
      <alignment horizontal="center"/>
    </xf>
    <xf numFmtId="2" fontId="62" fillId="0" borderId="0" xfId="0" applyNumberFormat="1" applyFont="1"/>
    <xf numFmtId="0" fontId="63" fillId="0" borderId="8" xfId="0" applyFont="1" applyBorder="1" applyAlignment="1">
      <alignment horizontal="center" vertical="center" wrapText="1"/>
    </xf>
    <xf numFmtId="0" fontId="63" fillId="24" borderId="116" xfId="0" applyFont="1" applyFill="1" applyBorder="1" applyAlignment="1">
      <alignment horizontal="center" vertical="center"/>
    </xf>
    <xf numFmtId="0" fontId="78" fillId="11" borderId="75" xfId="20" applyFont="1" applyFill="1" applyBorder="1" applyAlignment="1">
      <alignment vertical="center"/>
    </xf>
    <xf numFmtId="0" fontId="71" fillId="10" borderId="76" xfId="20" applyFont="1" applyFill="1" applyBorder="1" applyAlignment="1">
      <alignment vertical="center" wrapText="1"/>
    </xf>
    <xf numFmtId="0" fontId="71" fillId="12" borderId="69" xfId="20" applyFont="1" applyFill="1" applyBorder="1" applyAlignment="1">
      <alignment horizontal="center" vertical="center"/>
    </xf>
    <xf numFmtId="0" fontId="71" fillId="13" borderId="54" xfId="20" applyFont="1" applyFill="1" applyBorder="1" applyAlignment="1">
      <alignment horizontal="center" vertical="center"/>
    </xf>
    <xf numFmtId="0" fontId="63" fillId="14" borderId="69" xfId="20" applyFont="1" applyFill="1" applyBorder="1" applyAlignment="1">
      <alignment horizontal="center" vertical="center"/>
    </xf>
    <xf numFmtId="0" fontId="62" fillId="15" borderId="69" xfId="20" applyFont="1" applyFill="1" applyBorder="1" applyAlignment="1">
      <alignment horizontal="center" vertical="center" wrapText="1"/>
    </xf>
    <xf numFmtId="0" fontId="62" fillId="15" borderId="54" xfId="20" applyFont="1" applyFill="1" applyBorder="1" applyAlignment="1">
      <alignment horizontal="center" vertical="center" wrapText="1"/>
    </xf>
    <xf numFmtId="0" fontId="70" fillId="15" borderId="69" xfId="20" applyFont="1" applyFill="1" applyBorder="1" applyAlignment="1">
      <alignment horizontal="center" vertical="center" wrapText="1"/>
    </xf>
    <xf numFmtId="0" fontId="71" fillId="16" borderId="54" xfId="20" applyFont="1" applyFill="1" applyBorder="1" applyAlignment="1">
      <alignment horizontal="center" vertical="center"/>
    </xf>
    <xf numFmtId="0" fontId="71" fillId="10" borderId="75" xfId="20" applyFont="1" applyFill="1" applyBorder="1" applyAlignment="1">
      <alignment vertical="center"/>
    </xf>
    <xf numFmtId="0" fontId="71" fillId="17" borderId="54" xfId="20" applyFont="1" applyFill="1" applyBorder="1" applyAlignment="1">
      <alignment horizontal="center" vertical="center"/>
    </xf>
    <xf numFmtId="0" fontId="62" fillId="10" borderId="14" xfId="20" applyFont="1" applyFill="1" applyBorder="1" applyAlignment="1">
      <alignment vertical="center" wrapText="1"/>
    </xf>
    <xf numFmtId="0" fontId="62" fillId="10" borderId="76" xfId="20" applyFont="1" applyFill="1" applyBorder="1" applyAlignment="1">
      <alignment vertical="center" wrapText="1"/>
    </xf>
    <xf numFmtId="0" fontId="62" fillId="15" borderId="69" xfId="20" applyFont="1" applyFill="1" applyBorder="1" applyAlignment="1">
      <alignment horizontal="center" vertical="top" wrapText="1"/>
    </xf>
    <xf numFmtId="0" fontId="71" fillId="12" borderId="54" xfId="20" applyFont="1" applyFill="1" applyBorder="1" applyAlignment="1">
      <alignment horizontal="center" vertical="center"/>
    </xf>
    <xf numFmtId="0" fontId="89" fillId="10" borderId="75" xfId="20" applyFont="1" applyFill="1" applyBorder="1" applyAlignment="1">
      <alignment vertical="center" wrapText="1"/>
    </xf>
    <xf numFmtId="0" fontId="89" fillId="10" borderId="76" xfId="20" applyFont="1" applyFill="1" applyBorder="1" applyAlignment="1">
      <alignment vertical="center" wrapText="1"/>
    </xf>
    <xf numFmtId="0" fontId="71" fillId="14" borderId="69" xfId="20" applyFont="1" applyFill="1" applyBorder="1" applyAlignment="1">
      <alignment horizontal="center" vertical="center"/>
    </xf>
    <xf numFmtId="0" fontId="89" fillId="10" borderId="75" xfId="20" applyFont="1" applyFill="1" applyBorder="1" applyAlignment="1">
      <alignment vertical="center"/>
    </xf>
    <xf numFmtId="0" fontId="78" fillId="11" borderId="62" xfId="20" applyFont="1" applyFill="1" applyBorder="1" applyAlignment="1">
      <alignment vertical="center"/>
    </xf>
    <xf numFmtId="0" fontId="71" fillId="13" borderId="69" xfId="20" applyFont="1" applyFill="1" applyBorder="1" applyAlignment="1">
      <alignment horizontal="center" vertical="center"/>
    </xf>
    <xf numFmtId="0" fontId="78" fillId="11" borderId="77" xfId="20" applyFont="1" applyFill="1" applyBorder="1" applyAlignment="1">
      <alignment vertical="center"/>
    </xf>
    <xf numFmtId="0" fontId="63" fillId="10" borderId="69" xfId="20" applyFont="1" applyFill="1" applyBorder="1" applyAlignment="1">
      <alignment horizontal="center" vertical="top" wrapText="1"/>
    </xf>
    <xf numFmtId="0" fontId="71" fillId="19" borderId="69" xfId="20" applyFont="1" applyFill="1" applyBorder="1" applyAlignment="1">
      <alignment horizontal="center" vertical="center"/>
    </xf>
    <xf numFmtId="0" fontId="71" fillId="17" borderId="69" xfId="20" applyFont="1" applyFill="1" applyBorder="1" applyAlignment="1">
      <alignment horizontal="center" vertical="center"/>
    </xf>
    <xf numFmtId="3" fontId="62" fillId="10" borderId="69" xfId="20" applyNumberFormat="1" applyFont="1" applyFill="1" applyBorder="1" applyAlignment="1">
      <alignment horizontal="center"/>
    </xf>
    <xf numFmtId="3" fontId="62" fillId="10" borderId="69" xfId="20" applyNumberFormat="1" applyFont="1" applyFill="1" applyBorder="1" applyAlignment="1">
      <alignment horizontal="center" vertical="center"/>
    </xf>
    <xf numFmtId="3" fontId="62" fillId="10" borderId="54" xfId="20" applyNumberFormat="1" applyFont="1" applyFill="1" applyBorder="1" applyAlignment="1">
      <alignment horizontal="center"/>
    </xf>
    <xf numFmtId="0" fontId="62" fillId="10" borderId="74" xfId="20" applyFont="1" applyFill="1" applyBorder="1"/>
    <xf numFmtId="0" fontId="62" fillId="10" borderId="76" xfId="20" applyFont="1" applyFill="1" applyBorder="1"/>
    <xf numFmtId="0" fontId="62" fillId="10" borderId="69" xfId="17" applyFont="1" applyFill="1" applyBorder="1" applyAlignment="1">
      <alignment horizontal="center" wrapText="1"/>
    </xf>
    <xf numFmtId="0" fontId="61" fillId="4" borderId="74" xfId="17" applyFont="1" applyFill="1" applyBorder="1" applyAlignment="1">
      <alignment wrapText="1"/>
    </xf>
    <xf numFmtId="0" fontId="70" fillId="26" borderId="69" xfId="17" applyFont="1" applyFill="1" applyBorder="1" applyAlignment="1">
      <alignment horizontal="left"/>
    </xf>
    <xf numFmtId="0" fontId="70" fillId="26" borderId="74" xfId="17" applyFont="1" applyFill="1" applyBorder="1" applyAlignment="1">
      <alignment wrapText="1"/>
    </xf>
    <xf numFmtId="0" fontId="63" fillId="10" borderId="127" xfId="17" applyFont="1" applyFill="1" applyBorder="1" applyAlignment="1">
      <alignment wrapText="1"/>
    </xf>
    <xf numFmtId="0" fontId="40" fillId="6" borderId="128" xfId="0" applyFont="1" applyFill="1" applyBorder="1" applyAlignment="1">
      <alignment horizontal="center"/>
    </xf>
    <xf numFmtId="0" fontId="40" fillId="6" borderId="129" xfId="0" applyFont="1" applyFill="1" applyBorder="1" applyAlignment="1">
      <alignment horizontal="center"/>
    </xf>
    <xf numFmtId="1" fontId="42" fillId="0" borderId="69" xfId="0" applyNumberFormat="1" applyFont="1" applyBorder="1" applyAlignment="1">
      <alignment horizontal="center"/>
    </xf>
    <xf numFmtId="0" fontId="42" fillId="0" borderId="69" xfId="0" applyFont="1" applyBorder="1" applyAlignment="1">
      <alignment horizontal="center"/>
    </xf>
    <xf numFmtId="1" fontId="42" fillId="9" borderId="69" xfId="0" applyNumberFormat="1" applyFont="1" applyFill="1" applyBorder="1" applyAlignment="1">
      <alignment horizontal="center"/>
    </xf>
    <xf numFmtId="0" fontId="42" fillId="9" borderId="69" xfId="0" applyFont="1" applyFill="1" applyBorder="1" applyAlignment="1">
      <alignment horizontal="center"/>
    </xf>
    <xf numFmtId="1" fontId="42" fillId="0" borderId="69" xfId="0" applyNumberFormat="1" applyFont="1" applyBorder="1" applyAlignment="1">
      <alignment horizontal="center" vertical="center"/>
    </xf>
    <xf numFmtId="0" fontId="42" fillId="0" borderId="69" xfId="0" applyFont="1" applyBorder="1" applyAlignment="1">
      <alignment horizontal="center" vertical="center"/>
    </xf>
    <xf numFmtId="0" fontId="64" fillId="9" borderId="69" xfId="26" applyFont="1" applyFill="1" applyBorder="1" applyAlignment="1">
      <alignment horizontal="center" vertical="center"/>
    </xf>
    <xf numFmtId="0" fontId="62" fillId="0" borderId="69" xfId="26" applyFont="1" applyBorder="1"/>
    <xf numFmtId="0" fontId="62" fillId="21" borderId="69" xfId="26" applyFont="1" applyFill="1" applyBorder="1" applyAlignment="1">
      <alignment horizontal="left" vertical="center"/>
    </xf>
    <xf numFmtId="0" fontId="62" fillId="21" borderId="69" xfId="26" applyFont="1" applyFill="1" applyBorder="1" applyAlignment="1">
      <alignment horizontal="right" vertical="center"/>
    </xf>
    <xf numFmtId="2" fontId="62" fillId="21" borderId="69" xfId="26" applyNumberFormat="1" applyFont="1" applyFill="1" applyBorder="1" applyAlignment="1">
      <alignment horizontal="right" vertical="center"/>
    </xf>
    <xf numFmtId="0" fontId="61" fillId="6" borderId="128" xfId="0" applyFont="1" applyFill="1" applyBorder="1" applyAlignment="1">
      <alignment horizontal="center"/>
    </xf>
    <xf numFmtId="0" fontId="61" fillId="6" borderId="129" xfId="0" applyFont="1" applyFill="1" applyBorder="1" applyAlignment="1">
      <alignment horizontal="center"/>
    </xf>
    <xf numFmtId="0" fontId="62" fillId="0" borderId="69" xfId="26" applyFont="1" applyBorder="1" applyAlignment="1">
      <alignment horizontal="right" vertical="center"/>
    </xf>
    <xf numFmtId="0" fontId="62" fillId="0" borderId="105" xfId="39" applyFont="1" applyBorder="1" applyAlignment="1">
      <alignment horizontal="center"/>
    </xf>
    <xf numFmtId="0" fontId="62" fillId="0" borderId="69" xfId="26" applyFont="1" applyBorder="1" applyAlignment="1">
      <alignment vertical="center" wrapText="1"/>
    </xf>
    <xf numFmtId="0" fontId="62" fillId="0" borderId="69" xfId="26" applyFont="1" applyBorder="1" applyAlignment="1">
      <alignment vertical="center"/>
    </xf>
    <xf numFmtId="0" fontId="62" fillId="0" borderId="75" xfId="26" applyFont="1" applyBorder="1" applyAlignment="1">
      <alignment vertical="center"/>
    </xf>
    <xf numFmtId="0" fontId="70" fillId="0" borderId="75" xfId="26" applyFont="1" applyBorder="1" applyAlignment="1">
      <alignment horizontal="center" vertical="center" textRotation="180"/>
    </xf>
    <xf numFmtId="0" fontId="70" fillId="26" borderId="62" xfId="21" applyFont="1" applyFill="1" applyBorder="1" applyAlignment="1">
      <alignment horizontal="center" vertical="center"/>
    </xf>
    <xf numFmtId="0" fontId="67" fillId="26" borderId="62" xfId="21" applyFont="1" applyFill="1" applyBorder="1" applyAlignment="1">
      <alignment horizontal="center" vertical="center"/>
    </xf>
    <xf numFmtId="0" fontId="67" fillId="26" borderId="61" xfId="21" applyFont="1" applyFill="1" applyBorder="1" applyAlignment="1">
      <alignment horizontal="center" vertical="center"/>
    </xf>
    <xf numFmtId="0" fontId="62" fillId="0" borderId="62" xfId="21" applyFont="1" applyBorder="1" applyAlignment="1">
      <alignment horizontal="center" vertical="center"/>
    </xf>
    <xf numFmtId="0" fontId="95" fillId="0" borderId="62" xfId="21" applyFont="1" applyBorder="1" applyAlignment="1">
      <alignment horizontal="center" vertical="center"/>
    </xf>
    <xf numFmtId="0" fontId="62" fillId="0" borderId="61" xfId="21" applyFont="1" applyBorder="1" applyAlignment="1">
      <alignment horizontal="center" vertical="center"/>
    </xf>
    <xf numFmtId="0" fontId="63" fillId="0" borderId="71" xfId="21" applyFont="1" applyBorder="1" applyAlignment="1">
      <alignment vertical="center" wrapText="1"/>
    </xf>
    <xf numFmtId="0" fontId="63" fillId="0" borderId="71" xfId="21" applyFont="1" applyBorder="1"/>
    <xf numFmtId="0" fontId="62" fillId="0" borderId="15" xfId="21" applyFont="1" applyBorder="1" applyAlignment="1">
      <alignment horizontal="center" vertical="center"/>
    </xf>
    <xf numFmtId="0" fontId="62" fillId="0" borderId="14" xfId="21" applyFont="1" applyBorder="1" applyAlignment="1">
      <alignment horizontal="center" vertical="center"/>
    </xf>
    <xf numFmtId="0" fontId="62" fillId="0" borderId="16" xfId="21" applyFont="1" applyBorder="1" applyAlignment="1">
      <alignment horizontal="center" vertical="center"/>
    </xf>
    <xf numFmtId="0" fontId="70" fillId="0" borderId="17" xfId="21" applyFont="1" applyBorder="1" applyAlignment="1">
      <alignment horizontal="center" vertical="center"/>
    </xf>
    <xf numFmtId="0" fontId="70" fillId="6" borderId="17" xfId="21" applyFont="1" applyFill="1" applyBorder="1" applyAlignment="1">
      <alignment horizontal="center" vertical="center"/>
    </xf>
    <xf numFmtId="0" fontId="61" fillId="6" borderId="17" xfId="21" applyFont="1" applyFill="1" applyBorder="1" applyAlignment="1">
      <alignment horizontal="center" vertical="center"/>
    </xf>
    <xf numFmtId="0" fontId="61" fillId="6" borderId="70" xfId="21" applyFont="1" applyFill="1" applyBorder="1" applyAlignment="1">
      <alignment horizontal="center" vertical="center"/>
    </xf>
    <xf numFmtId="0" fontId="62" fillId="0" borderId="71" xfId="21" applyFont="1" applyBorder="1" applyAlignment="1">
      <alignment horizontal="center" vertical="center"/>
    </xf>
    <xf numFmtId="0" fontId="62" fillId="0" borderId="14" xfId="21" applyFont="1" applyBorder="1"/>
    <xf numFmtId="0" fontId="62" fillId="0" borderId="16" xfId="21" applyFont="1" applyBorder="1"/>
    <xf numFmtId="9" fontId="62" fillId="0" borderId="62" xfId="22" applyFont="1" applyBorder="1" applyAlignment="1">
      <alignment horizontal="center" vertical="center"/>
    </xf>
    <xf numFmtId="9" fontId="62" fillId="0" borderId="61" xfId="22" applyFont="1" applyBorder="1" applyAlignment="1">
      <alignment horizontal="center" vertical="center"/>
    </xf>
    <xf numFmtId="0" fontId="62" fillId="0" borderId="61" xfId="21" applyFont="1" applyBorder="1"/>
    <xf numFmtId="0" fontId="31" fillId="0" borderId="71" xfId="0" applyFont="1" applyBorder="1"/>
    <xf numFmtId="0" fontId="32" fillId="0" borderId="71" xfId="0" applyFont="1" applyBorder="1"/>
    <xf numFmtId="0" fontId="28" fillId="0" borderId="71" xfId="0" applyFont="1" applyBorder="1"/>
    <xf numFmtId="0" fontId="31" fillId="0" borderId="71" xfId="0" applyFont="1" applyBorder="1" applyAlignment="1">
      <alignment vertical="center"/>
    </xf>
    <xf numFmtId="0" fontId="31" fillId="0" borderId="71" xfId="0" applyFont="1" applyBorder="1" applyAlignment="1">
      <alignment horizontal="left"/>
    </xf>
    <xf numFmtId="0" fontId="31" fillId="0" borderId="63" xfId="0" applyFont="1" applyBorder="1"/>
    <xf numFmtId="0" fontId="31" fillId="0" borderId="62" xfId="0" applyFont="1" applyBorder="1"/>
    <xf numFmtId="4" fontId="31" fillId="0" borderId="62" xfId="0" applyNumberFormat="1" applyFont="1" applyBorder="1" applyAlignment="1">
      <alignment horizontal="center"/>
    </xf>
    <xf numFmtId="4" fontId="31" fillId="0" borderId="61" xfId="0" applyNumberFormat="1" applyFont="1" applyBorder="1" applyAlignment="1">
      <alignment horizontal="center"/>
    </xf>
    <xf numFmtId="0" fontId="28" fillId="0" borderId="63" xfId="0" applyFont="1" applyBorder="1"/>
    <xf numFmtId="0" fontId="28" fillId="0" borderId="62" xfId="0" applyFont="1" applyBorder="1"/>
    <xf numFmtId="0" fontId="28" fillId="0" borderId="61" xfId="0" applyFont="1" applyBorder="1" applyAlignment="1">
      <alignment horizontal="right"/>
    </xf>
    <xf numFmtId="2" fontId="63" fillId="0" borderId="0" xfId="17" applyNumberFormat="1" applyFont="1" applyAlignment="1">
      <alignment wrapText="1"/>
    </xf>
    <xf numFmtId="3" fontId="63" fillId="24" borderId="119" xfId="0" applyNumberFormat="1" applyFont="1" applyFill="1" applyBorder="1" applyAlignment="1">
      <alignment vertical="center"/>
    </xf>
    <xf numFmtId="3" fontId="63" fillId="0" borderId="0" xfId="44" applyNumberFormat="1" applyFont="1"/>
    <xf numFmtId="175" fontId="63" fillId="0" borderId="0" xfId="17" applyNumberFormat="1" applyFont="1" applyAlignment="1">
      <alignment wrapText="1"/>
    </xf>
    <xf numFmtId="0" fontId="62" fillId="10" borderId="0" xfId="20" applyFont="1" applyFill="1" applyAlignment="1" applyProtection="1">
      <alignment horizontal="left" vertical="center" wrapText="1"/>
      <protection locked="0"/>
    </xf>
    <xf numFmtId="0" fontId="71" fillId="10" borderId="75" xfId="20" applyFont="1" applyFill="1" applyBorder="1" applyAlignment="1">
      <alignment vertical="center" wrapText="1"/>
    </xf>
    <xf numFmtId="0" fontId="62" fillId="10" borderId="74" xfId="17" applyFont="1" applyFill="1" applyBorder="1" applyAlignment="1">
      <alignment horizontal="left" wrapText="1"/>
    </xf>
    <xf numFmtId="0" fontId="62" fillId="10" borderId="75" xfId="17" applyFont="1" applyFill="1" applyBorder="1" applyAlignment="1">
      <alignment horizontal="left" wrapText="1"/>
    </xf>
    <xf numFmtId="0" fontId="61" fillId="4" borderId="69" xfId="17" applyFont="1" applyFill="1" applyBorder="1" applyAlignment="1">
      <alignment horizontal="center" vertical="center" wrapText="1"/>
    </xf>
    <xf numFmtId="0" fontId="63" fillId="0" borderId="69" xfId="3" applyFont="1" applyBorder="1" applyAlignment="1">
      <alignment horizontal="left" vertical="center" wrapText="1"/>
    </xf>
    <xf numFmtId="0" fontId="63" fillId="0" borderId="69" xfId="3" applyFont="1" applyBorder="1" applyAlignment="1">
      <alignment horizontal="center" vertical="center" wrapText="1"/>
    </xf>
    <xf numFmtId="0" fontId="61" fillId="6" borderId="112" xfId="0" applyFont="1" applyFill="1" applyBorder="1" applyAlignment="1">
      <alignment horizontal="center" vertical="center"/>
    </xf>
    <xf numFmtId="0" fontId="64" fillId="39" borderId="80" xfId="0" applyFont="1" applyFill="1" applyBorder="1" applyAlignment="1">
      <alignment horizontal="center" vertical="center"/>
    </xf>
    <xf numFmtId="0" fontId="63" fillId="6" borderId="0" xfId="44" applyFont="1" applyFill="1" applyAlignment="1">
      <alignment horizontal="left"/>
    </xf>
    <xf numFmtId="0" fontId="62" fillId="0" borderId="69" xfId="3" applyFont="1" applyBorder="1" applyAlignment="1">
      <alignment horizontal="center" vertical="top"/>
    </xf>
    <xf numFmtId="0" fontId="63" fillId="0" borderId="15" xfId="0" applyFont="1" applyBorder="1" applyAlignment="1">
      <alignment horizontal="center" vertical="center"/>
    </xf>
    <xf numFmtId="0" fontId="63" fillId="0" borderId="71" xfId="0" applyFont="1" applyBorder="1" applyAlignment="1">
      <alignment horizontal="center" vertical="top" wrapText="1"/>
    </xf>
    <xf numFmtId="0" fontId="63" fillId="0" borderId="117" xfId="0" applyFont="1" applyBorder="1" applyAlignment="1">
      <alignment horizontal="center" vertical="center"/>
    </xf>
    <xf numFmtId="0" fontId="63" fillId="0" borderId="71" xfId="0" applyFont="1" applyBorder="1" applyAlignment="1">
      <alignment horizontal="center" vertical="center"/>
    </xf>
    <xf numFmtId="0" fontId="64" fillId="39" borderId="101" xfId="0" applyFont="1" applyFill="1" applyBorder="1" applyAlignment="1">
      <alignment horizontal="center" vertical="center"/>
    </xf>
    <xf numFmtId="0" fontId="64" fillId="30" borderId="23" xfId="0" applyFont="1" applyFill="1" applyBorder="1" applyAlignment="1">
      <alignment horizontal="right" wrapText="1" indent="1"/>
    </xf>
    <xf numFmtId="0" fontId="63" fillId="0" borderId="23"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20" xfId="0" applyFont="1" applyBorder="1" applyAlignment="1">
      <alignment horizontal="center" vertical="center" wrapText="1"/>
    </xf>
    <xf numFmtId="0" fontId="63" fillId="0" borderId="21" xfId="0" applyFont="1" applyBorder="1" applyAlignment="1">
      <alignment horizontal="center" vertical="center" wrapText="1"/>
    </xf>
    <xf numFmtId="0" fontId="64" fillId="30" borderId="23" xfId="0" applyFont="1" applyFill="1" applyBorder="1" applyAlignment="1">
      <alignment horizontal="center" wrapText="1"/>
    </xf>
    <xf numFmtId="0" fontId="63" fillId="0" borderId="66" xfId="0" applyFont="1" applyBorder="1" applyAlignment="1">
      <alignment horizontal="center" vertical="center" wrapText="1"/>
    </xf>
    <xf numFmtId="0" fontId="63" fillId="0" borderId="105" xfId="0" applyFont="1" applyBorder="1" applyAlignment="1">
      <alignment horizontal="center" vertical="center" wrapText="1"/>
    </xf>
    <xf numFmtId="0" fontId="64" fillId="0" borderId="65" xfId="0" applyFont="1" applyBorder="1" applyAlignment="1">
      <alignment horizontal="center"/>
    </xf>
    <xf numFmtId="0" fontId="64" fillId="0" borderId="7" xfId="0" applyFont="1" applyBorder="1" applyAlignment="1">
      <alignment horizontal="center" vertical="center"/>
    </xf>
    <xf numFmtId="0" fontId="47" fillId="0" borderId="3" xfId="0" applyFont="1" applyBorder="1" applyAlignment="1">
      <alignment horizontal="center" vertical="center" wrapText="1"/>
    </xf>
    <xf numFmtId="0" fontId="70" fillId="9" borderId="17" xfId="53" applyFont="1" applyFill="1" applyBorder="1" applyAlignment="1">
      <alignment horizontal="center" vertical="center" wrapText="1"/>
    </xf>
    <xf numFmtId="0" fontId="70" fillId="9" borderId="60" xfId="53" applyFont="1" applyFill="1" applyBorder="1" applyAlignment="1">
      <alignment horizontal="center" vertical="center" wrapText="1"/>
    </xf>
    <xf numFmtId="0" fontId="63" fillId="0" borderId="23" xfId="0" applyFont="1" applyBorder="1" applyAlignment="1">
      <alignment horizontal="center" vertical="top" wrapText="1"/>
    </xf>
    <xf numFmtId="0" fontId="64" fillId="0" borderId="68" xfId="0" applyFont="1" applyBorder="1" applyAlignment="1">
      <alignment horizontal="center" wrapText="1"/>
    </xf>
    <xf numFmtId="0" fontId="42" fillId="0" borderId="41" xfId="0" applyFont="1" applyBorder="1" applyAlignment="1">
      <alignment horizontal="left"/>
    </xf>
    <xf numFmtId="0" fontId="42" fillId="0" borderId="0" xfId="0" applyFont="1" applyAlignment="1">
      <alignment horizontal="left" vertical="top" wrapText="1"/>
    </xf>
    <xf numFmtId="0" fontId="42" fillId="0" borderId="55" xfId="0" applyFont="1" applyBorder="1" applyAlignment="1">
      <alignment horizontal="left"/>
    </xf>
    <xf numFmtId="0" fontId="42" fillId="9" borderId="55" xfId="0" applyFont="1" applyFill="1" applyBorder="1" applyAlignment="1">
      <alignment horizontal="left"/>
    </xf>
    <xf numFmtId="0" fontId="56" fillId="10" borderId="69" xfId="21" applyFont="1" applyFill="1" applyBorder="1" applyAlignment="1">
      <alignment horizontal="center" vertical="center" wrapText="1"/>
    </xf>
    <xf numFmtId="0" fontId="70" fillId="9" borderId="69" xfId="26" applyFont="1" applyFill="1" applyBorder="1" applyAlignment="1">
      <alignment horizontal="center" vertical="center"/>
    </xf>
    <xf numFmtId="0" fontId="62" fillId="0" borderId="0" xfId="0" applyFont="1" applyAlignment="1">
      <alignment horizontal="left" vertical="top" wrapText="1"/>
    </xf>
    <xf numFmtId="0" fontId="63" fillId="0" borderId="63" xfId="0" applyFont="1" applyBorder="1" applyAlignment="1">
      <alignment horizontal="center" vertical="center"/>
    </xf>
    <xf numFmtId="0" fontId="70" fillId="9" borderId="17" xfId="49" applyFont="1" applyFill="1" applyBorder="1" applyAlignment="1">
      <alignment horizontal="center" vertical="center"/>
    </xf>
    <xf numFmtId="0" fontId="70" fillId="9" borderId="69" xfId="49" applyFont="1" applyFill="1" applyBorder="1" applyAlignment="1">
      <alignment horizontal="center" vertical="top"/>
    </xf>
    <xf numFmtId="0" fontId="63" fillId="15" borderId="69" xfId="3" applyFont="1" applyFill="1" applyBorder="1" applyAlignment="1">
      <alignment horizontal="center" vertical="center" wrapText="1"/>
    </xf>
    <xf numFmtId="0" fontId="61" fillId="6" borderId="0" xfId="21" applyFont="1" applyFill="1" applyAlignment="1">
      <alignment horizontal="center" vertical="center"/>
    </xf>
    <xf numFmtId="0" fontId="61" fillId="6" borderId="14" xfId="21" applyFont="1" applyFill="1" applyBorder="1" applyAlignment="1">
      <alignment horizontal="center" vertical="center" wrapText="1"/>
    </xf>
    <xf numFmtId="0" fontId="27" fillId="7" borderId="14" xfId="0" applyFont="1" applyFill="1" applyBorder="1" applyAlignment="1">
      <alignment horizontal="center" vertical="center"/>
    </xf>
    <xf numFmtId="0" fontId="78" fillId="11" borderId="130" xfId="20" applyFont="1" applyFill="1" applyBorder="1" applyAlignment="1">
      <alignment vertical="center"/>
    </xf>
    <xf numFmtId="0" fontId="78" fillId="11" borderId="131" xfId="20" applyFont="1" applyFill="1" applyBorder="1" applyAlignment="1">
      <alignment vertical="center"/>
    </xf>
    <xf numFmtId="0" fontId="71" fillId="10" borderId="130" xfId="20" applyFont="1" applyFill="1" applyBorder="1" applyAlignment="1">
      <alignment vertical="center"/>
    </xf>
    <xf numFmtId="0" fontId="89" fillId="10" borderId="130" xfId="20" applyFont="1" applyFill="1" applyBorder="1" applyAlignment="1">
      <alignment vertical="center"/>
    </xf>
    <xf numFmtId="0" fontId="78" fillId="11" borderId="132" xfId="20" applyFont="1" applyFill="1" applyBorder="1" applyAlignment="1">
      <alignment vertical="center"/>
    </xf>
    <xf numFmtId="0" fontId="78" fillId="11" borderId="133" xfId="20" applyFont="1" applyFill="1" applyBorder="1" applyAlignment="1">
      <alignment vertical="center"/>
    </xf>
    <xf numFmtId="0" fontId="62" fillId="10" borderId="105" xfId="20" applyFont="1" applyFill="1" applyBorder="1"/>
    <xf numFmtId="0" fontId="80" fillId="4" borderId="135" xfId="20" applyFont="1" applyFill="1" applyBorder="1" applyAlignment="1">
      <alignment horizontal="center" vertical="center" wrapText="1"/>
    </xf>
    <xf numFmtId="0" fontId="80" fillId="4" borderId="136" xfId="20" applyFont="1" applyFill="1" applyBorder="1" applyAlignment="1">
      <alignment horizontal="center" vertical="center" wrapText="1"/>
    </xf>
    <xf numFmtId="3" fontId="62" fillId="10" borderId="135" xfId="20" applyNumberFormat="1" applyFont="1" applyFill="1" applyBorder="1" applyAlignment="1">
      <alignment horizontal="center" vertical="center"/>
    </xf>
    <xf numFmtId="3" fontId="62" fillId="10" borderId="136" xfId="20" applyNumberFormat="1" applyFont="1" applyFill="1" applyBorder="1" applyAlignment="1">
      <alignment horizontal="center"/>
    </xf>
    <xf numFmtId="10" fontId="62" fillId="10" borderId="131" xfId="16" applyNumberFormat="1" applyFont="1" applyFill="1" applyBorder="1" applyAlignment="1">
      <alignment horizontal="center" vertical="center" wrapText="1"/>
    </xf>
    <xf numFmtId="10" fontId="62" fillId="15" borderId="131" xfId="16" applyNumberFormat="1" applyFont="1" applyFill="1" applyBorder="1" applyAlignment="1">
      <alignment horizontal="center" vertical="center" wrapText="1"/>
    </xf>
    <xf numFmtId="10" fontId="61" fillId="4" borderId="131" xfId="16" applyNumberFormat="1" applyFont="1" applyFill="1" applyBorder="1" applyAlignment="1">
      <alignment horizontal="center" vertical="center" wrapText="1"/>
    </xf>
    <xf numFmtId="1" fontId="61" fillId="4" borderId="131" xfId="16" applyNumberFormat="1" applyFont="1" applyFill="1" applyBorder="1" applyAlignment="1">
      <alignment horizontal="center" vertical="center" wrapText="1"/>
    </xf>
    <xf numFmtId="10" fontId="63" fillId="26" borderId="131" xfId="16" applyNumberFormat="1" applyFont="1" applyFill="1" applyBorder="1" applyAlignment="1">
      <alignment wrapText="1"/>
    </xf>
    <xf numFmtId="10" fontId="62" fillId="15" borderId="131" xfId="16" applyNumberFormat="1" applyFont="1" applyFill="1" applyBorder="1" applyAlignment="1">
      <alignment horizontal="center" wrapText="1"/>
    </xf>
    <xf numFmtId="10" fontId="61" fillId="4" borderId="135" xfId="16" applyNumberFormat="1" applyFont="1" applyFill="1" applyBorder="1" applyAlignment="1">
      <alignment horizontal="center" wrapText="1"/>
    </xf>
    <xf numFmtId="10" fontId="61" fillId="4" borderId="136" xfId="16" applyNumberFormat="1" applyFont="1" applyFill="1" applyBorder="1" applyAlignment="1">
      <alignment horizontal="center" wrapText="1"/>
    </xf>
    <xf numFmtId="10" fontId="61" fillId="4" borderId="133" xfId="16" applyNumberFormat="1" applyFont="1" applyFill="1" applyBorder="1" applyAlignment="1">
      <alignment horizontal="center" wrapText="1"/>
    </xf>
    <xf numFmtId="0" fontId="63" fillId="0" borderId="131" xfId="17" applyFont="1" applyBorder="1" applyAlignment="1">
      <alignment horizontal="center" vertical="center" wrapText="1"/>
    </xf>
    <xf numFmtId="0" fontId="63" fillId="10" borderId="131" xfId="17" applyFont="1" applyFill="1" applyBorder="1" applyAlignment="1">
      <alignment wrapText="1"/>
    </xf>
    <xf numFmtId="0" fontId="63" fillId="10" borderId="132" xfId="17" applyFont="1" applyFill="1" applyBorder="1" applyAlignment="1">
      <alignment wrapText="1"/>
    </xf>
    <xf numFmtId="0" fontId="63" fillId="10" borderId="133" xfId="17" applyFont="1" applyFill="1" applyBorder="1" applyAlignment="1">
      <alignment wrapText="1"/>
    </xf>
    <xf numFmtId="0" fontId="64" fillId="26" borderId="135" xfId="3" applyFont="1" applyFill="1" applyBorder="1" applyAlignment="1">
      <alignment horizontal="left" vertical="center" wrapText="1"/>
    </xf>
    <xf numFmtId="0" fontId="62" fillId="10" borderId="136" xfId="17" applyFont="1" applyFill="1" applyBorder="1" applyAlignment="1">
      <alignment wrapText="1"/>
    </xf>
    <xf numFmtId="0" fontId="62" fillId="10" borderId="136" xfId="17" applyFont="1" applyFill="1" applyBorder="1" applyAlignment="1">
      <alignment horizontal="center" vertical="center" wrapText="1"/>
    </xf>
    <xf numFmtId="0" fontId="63" fillId="0" borderId="105" xfId="0" applyFont="1" applyBorder="1" applyAlignment="1">
      <alignment horizontal="center" vertical="center"/>
    </xf>
    <xf numFmtId="0" fontId="63" fillId="0" borderId="11" xfId="0" applyFont="1" applyBorder="1" applyAlignment="1">
      <alignment horizontal="center" vertical="center" wrapText="1"/>
    </xf>
    <xf numFmtId="0" fontId="63" fillId="30" borderId="78" xfId="0" applyFont="1" applyFill="1" applyBorder="1" applyAlignment="1">
      <alignment horizontal="center" wrapText="1"/>
    </xf>
    <xf numFmtId="180" fontId="92" fillId="0" borderId="136" xfId="23" applyNumberFormat="1" applyFont="1" applyBorder="1" applyAlignment="1">
      <alignment horizontal="center"/>
    </xf>
    <xf numFmtId="1" fontId="42" fillId="0" borderId="135" xfId="0" applyNumberFormat="1" applyFont="1" applyBorder="1" applyAlignment="1">
      <alignment horizontal="center"/>
    </xf>
    <xf numFmtId="1" fontId="42" fillId="0" borderId="136" xfId="0" applyNumberFormat="1" applyFont="1" applyBorder="1" applyAlignment="1">
      <alignment horizontal="center"/>
    </xf>
    <xf numFmtId="0" fontId="42" fillId="0" borderId="135" xfId="0" applyFont="1" applyBorder="1" applyAlignment="1">
      <alignment horizontal="center"/>
    </xf>
    <xf numFmtId="0" fontId="61" fillId="5" borderId="135" xfId="39" applyFont="1" applyFill="1" applyBorder="1" applyAlignment="1">
      <alignment horizontal="center"/>
    </xf>
    <xf numFmtId="0" fontId="61" fillId="5" borderId="133" xfId="39" applyFont="1" applyFill="1" applyBorder="1" applyAlignment="1">
      <alignment horizontal="center"/>
    </xf>
    <xf numFmtId="4" fontId="31" fillId="0" borderId="137" xfId="0" applyNumberFormat="1" applyFont="1" applyBorder="1" applyAlignment="1">
      <alignment wrapText="1"/>
    </xf>
    <xf numFmtId="0" fontId="63" fillId="0" borderId="121" xfId="0" applyFont="1" applyBorder="1" applyAlignment="1">
      <alignment horizontal="center" vertical="center"/>
    </xf>
    <xf numFmtId="0" fontId="61" fillId="0" borderId="0" xfId="3" applyFont="1" applyAlignment="1">
      <alignment horizontal="center"/>
    </xf>
    <xf numFmtId="3" fontId="62" fillId="0" borderId="0" xfId="37" applyNumberFormat="1" applyFont="1" applyBorder="1"/>
    <xf numFmtId="4" fontId="62" fillId="0" borderId="0" xfId="37" applyNumberFormat="1" applyFont="1" applyBorder="1"/>
    <xf numFmtId="3" fontId="63" fillId="24" borderId="119" xfId="0" applyNumberFormat="1" applyFont="1" applyFill="1" applyBorder="1" applyAlignment="1">
      <alignment horizontal="center" vertical="center"/>
    </xf>
    <xf numFmtId="43" fontId="63" fillId="24" borderId="119" xfId="0" applyNumberFormat="1" applyFont="1" applyFill="1" applyBorder="1" applyAlignment="1">
      <alignment vertical="center"/>
    </xf>
    <xf numFmtId="9" fontId="63" fillId="0" borderId="119" xfId="0" applyNumberFormat="1" applyFont="1" applyBorder="1" applyAlignment="1">
      <alignment horizontal="right" vertical="center"/>
    </xf>
    <xf numFmtId="43" fontId="63" fillId="24" borderId="60" xfId="0" applyNumberFormat="1" applyFont="1" applyFill="1" applyBorder="1" applyAlignment="1">
      <alignment horizontal="right" vertical="center"/>
    </xf>
    <xf numFmtId="10" fontId="63" fillId="0" borderId="0" xfId="0" applyNumberFormat="1" applyFont="1"/>
    <xf numFmtId="3" fontId="63" fillId="0" borderId="0" xfId="17" applyNumberFormat="1" applyFont="1" applyAlignment="1">
      <alignment wrapText="1"/>
    </xf>
    <xf numFmtId="3" fontId="63" fillId="0" borderId="11" xfId="0" applyNumberFormat="1" applyFont="1" applyBorder="1" applyAlignment="1">
      <alignment horizontal="center" vertical="center"/>
    </xf>
    <xf numFmtId="43" fontId="66" fillId="0" borderId="0" xfId="1" applyFont="1" applyFill="1"/>
    <xf numFmtId="166" fontId="63" fillId="0" borderId="21" xfId="0" applyNumberFormat="1" applyFont="1" applyBorder="1"/>
    <xf numFmtId="3" fontId="70" fillId="26" borderId="139" xfId="0" applyNumberFormat="1" applyFont="1" applyFill="1" applyBorder="1" applyAlignment="1">
      <alignment horizontal="center"/>
    </xf>
    <xf numFmtId="3" fontId="70" fillId="26" borderId="140" xfId="0" applyNumberFormat="1" applyFont="1" applyFill="1" applyBorder="1" applyAlignment="1">
      <alignment horizontal="center"/>
    </xf>
    <xf numFmtId="4" fontId="62" fillId="0" borderId="0" xfId="0" applyNumberFormat="1" applyFont="1"/>
    <xf numFmtId="3" fontId="70" fillId="26" borderId="141" xfId="0" applyNumberFormat="1" applyFont="1" applyFill="1" applyBorder="1" applyAlignment="1">
      <alignment horizontal="center"/>
    </xf>
    <xf numFmtId="3" fontId="70" fillId="26" borderId="142" xfId="0" applyNumberFormat="1" applyFont="1" applyFill="1" applyBorder="1" applyAlignment="1">
      <alignment horizontal="center"/>
    </xf>
    <xf numFmtId="4" fontId="63" fillId="0" borderId="3" xfId="0" applyNumberFormat="1" applyFont="1" applyBorder="1"/>
    <xf numFmtId="4" fontId="62" fillId="0" borderId="3" xfId="0" applyNumberFormat="1" applyFont="1" applyBorder="1"/>
    <xf numFmtId="0" fontId="63" fillId="0" borderId="21" xfId="0" applyFont="1" applyBorder="1"/>
    <xf numFmtId="0" fontId="71" fillId="0" borderId="0" xfId="0" applyFont="1"/>
    <xf numFmtId="0" fontId="61" fillId="6" borderId="20" xfId="0" applyFont="1" applyFill="1" applyBorder="1" applyAlignment="1">
      <alignment horizontal="center" vertical="center"/>
    </xf>
    <xf numFmtId="3" fontId="70" fillId="26" borderId="0" xfId="0" applyNumberFormat="1" applyFont="1" applyFill="1" applyAlignment="1">
      <alignment horizontal="center"/>
    </xf>
    <xf numFmtId="3" fontId="70" fillId="26" borderId="143" xfId="0" applyNumberFormat="1" applyFont="1" applyFill="1" applyBorder="1" applyAlignment="1">
      <alignment horizontal="center"/>
    </xf>
    <xf numFmtId="166" fontId="62" fillId="0" borderId="20" xfId="0" applyNumberFormat="1" applyFont="1" applyBorder="1"/>
    <xf numFmtId="0" fontId="64" fillId="30" borderId="137" xfId="0" applyFont="1" applyFill="1" applyBorder="1" applyAlignment="1">
      <alignment horizontal="center" wrapText="1"/>
    </xf>
    <xf numFmtId="0" fontId="63" fillId="0" borderId="137" xfId="0" applyFont="1" applyBorder="1" applyAlignment="1">
      <alignment horizontal="center" vertical="top" wrapText="1"/>
    </xf>
    <xf numFmtId="0" fontId="63" fillId="0" borderId="137" xfId="0" applyFont="1" applyBorder="1" applyAlignment="1">
      <alignment horizontal="center" vertical="center" wrapText="1"/>
    </xf>
    <xf numFmtId="4" fontId="63" fillId="0" borderId="137" xfId="0" applyNumberFormat="1" applyFont="1" applyBorder="1" applyAlignment="1">
      <alignment wrapText="1"/>
    </xf>
    <xf numFmtId="4" fontId="63" fillId="0" borderId="137" xfId="0" applyNumberFormat="1" applyFont="1" applyBorder="1" applyAlignment="1">
      <alignment horizontal="right" wrapText="1"/>
    </xf>
    <xf numFmtId="4" fontId="64" fillId="39" borderId="137" xfId="0" applyNumberFormat="1" applyFont="1" applyFill="1" applyBorder="1"/>
    <xf numFmtId="0" fontId="63" fillId="39" borderId="137" xfId="0" applyFont="1" applyFill="1" applyBorder="1"/>
    <xf numFmtId="0" fontId="63" fillId="0" borderId="137" xfId="0" applyFont="1" applyBorder="1" applyAlignment="1">
      <alignment wrapText="1"/>
    </xf>
    <xf numFmtId="0" fontId="63" fillId="0" borderId="137" xfId="0" applyFont="1" applyBorder="1" applyAlignment="1">
      <alignment horizontal="right" wrapText="1"/>
    </xf>
    <xf numFmtId="0" fontId="63" fillId="0" borderId="137" xfId="0" applyFont="1" applyBorder="1" applyAlignment="1">
      <alignment horizontal="center" wrapText="1"/>
    </xf>
    <xf numFmtId="0" fontId="64" fillId="0" borderId="137" xfId="0" applyFont="1" applyBorder="1" applyAlignment="1">
      <alignment horizontal="center" vertical="center" wrapText="1"/>
    </xf>
    <xf numFmtId="0" fontId="64" fillId="0" borderId="137" xfId="0" applyFont="1" applyBorder="1" applyAlignment="1">
      <alignment horizontal="center"/>
    </xf>
    <xf numFmtId="2" fontId="63" fillId="0" borderId="137" xfId="0" applyNumberFormat="1" applyFont="1" applyBorder="1" applyAlignment="1">
      <alignment horizontal="right" wrapText="1"/>
    </xf>
    <xf numFmtId="0" fontId="63" fillId="39" borderId="137" xfId="0" applyFont="1" applyFill="1" applyBorder="1" applyAlignment="1">
      <alignment wrapText="1"/>
    </xf>
    <xf numFmtId="0" fontId="63" fillId="30" borderId="137" xfId="0" applyFont="1" applyFill="1" applyBorder="1" applyAlignment="1">
      <alignment wrapText="1"/>
    </xf>
    <xf numFmtId="4" fontId="47" fillId="0" borderId="137" xfId="0" applyNumberFormat="1" applyFont="1" applyBorder="1" applyAlignment="1">
      <alignment wrapText="1"/>
    </xf>
    <xf numFmtId="0" fontId="45" fillId="30" borderId="137" xfId="0" applyFont="1" applyFill="1" applyBorder="1" applyAlignment="1">
      <alignment horizontal="center" wrapText="1"/>
    </xf>
    <xf numFmtId="0" fontId="110" fillId="0" borderId="137" xfId="0" applyFont="1" applyBorder="1" applyAlignment="1">
      <alignment horizontal="center" vertical="top" wrapText="1"/>
    </xf>
    <xf numFmtId="0" fontId="47" fillId="0" borderId="137" xfId="0" applyFont="1" applyBorder="1" applyAlignment="1">
      <alignment horizontal="center" vertical="top" wrapText="1"/>
    </xf>
    <xf numFmtId="0" fontId="47" fillId="0" borderId="137" xfId="0" applyFont="1" applyBorder="1" applyAlignment="1">
      <alignment horizontal="center" vertical="center" wrapText="1"/>
    </xf>
    <xf numFmtId="0" fontId="45" fillId="0" borderId="137" xfId="0" applyFont="1" applyBorder="1" applyAlignment="1">
      <alignment horizontal="center" vertical="center" wrapText="1"/>
    </xf>
    <xf numFmtId="0" fontId="47" fillId="0" borderId="137" xfId="0" applyFont="1" applyBorder="1" applyAlignment="1">
      <alignment horizontal="left" wrapText="1"/>
    </xf>
    <xf numFmtId="0" fontId="110" fillId="0" borderId="137" xfId="0" applyFont="1" applyBorder="1" applyAlignment="1">
      <alignment horizontal="center" wrapText="1"/>
    </xf>
    <xf numFmtId="0" fontId="47" fillId="0" borderId="137" xfId="0" applyFont="1" applyBorder="1" applyAlignment="1">
      <alignment horizontal="center" wrapText="1"/>
    </xf>
    <xf numFmtId="4" fontId="47" fillId="0" borderId="137" xfId="0" applyNumberFormat="1" applyFont="1" applyBorder="1" applyAlignment="1">
      <alignment horizontal="right" wrapText="1"/>
    </xf>
    <xf numFmtId="4" fontId="45" fillId="39" borderId="137" xfId="0" applyNumberFormat="1" applyFont="1" applyFill="1" applyBorder="1"/>
    <xf numFmtId="0" fontId="47" fillId="39" borderId="137" xfId="0" applyFont="1" applyFill="1" applyBorder="1" applyAlignment="1">
      <alignment horizontal="center"/>
    </xf>
    <xf numFmtId="4" fontId="45" fillId="39" borderId="137" xfId="0" applyNumberFormat="1" applyFont="1" applyFill="1" applyBorder="1" applyAlignment="1">
      <alignment horizontal="right" wrapText="1"/>
    </xf>
    <xf numFmtId="0" fontId="47" fillId="0" borderId="137" xfId="3" applyFont="1" applyBorder="1" applyAlignment="1">
      <alignment vertical="center" wrapText="1"/>
    </xf>
    <xf numFmtId="0" fontId="47" fillId="0" borderId="137" xfId="0" applyFont="1" applyBorder="1" applyAlignment="1">
      <alignment wrapText="1"/>
    </xf>
    <xf numFmtId="2" fontId="50" fillId="0" borderId="137" xfId="3" applyNumberFormat="1" applyFont="1" applyBorder="1" applyAlignment="1">
      <alignment wrapText="1"/>
    </xf>
    <xf numFmtId="0" fontId="50" fillId="0" borderId="137" xfId="3" applyFont="1" applyBorder="1" applyAlignment="1">
      <alignment wrapText="1"/>
    </xf>
    <xf numFmtId="0" fontId="50" fillId="15" borderId="137" xfId="3" applyFont="1" applyFill="1" applyBorder="1" applyAlignment="1">
      <alignment wrapText="1"/>
    </xf>
    <xf numFmtId="2" fontId="50" fillId="15" borderId="137" xfId="3" applyNumberFormat="1" applyFont="1" applyFill="1" applyBorder="1" applyAlignment="1">
      <alignment wrapText="1"/>
    </xf>
    <xf numFmtId="0" fontId="47" fillId="0" borderId="137" xfId="3" applyFont="1" applyBorder="1" applyAlignment="1">
      <alignment horizontal="left" vertical="center" wrapText="1"/>
    </xf>
    <xf numFmtId="0" fontId="63" fillId="0" borderId="137" xfId="3" applyFont="1" applyBorder="1" applyAlignment="1">
      <alignment wrapText="1"/>
    </xf>
    <xf numFmtId="0" fontId="63" fillId="0" borderId="137" xfId="3" applyFont="1" applyBorder="1" applyAlignment="1">
      <alignment horizontal="left" wrapText="1"/>
    </xf>
    <xf numFmtId="0" fontId="63" fillId="30" borderId="137" xfId="0" applyFont="1" applyFill="1" applyBorder="1" applyAlignment="1">
      <alignment horizontal="center" wrapText="1"/>
    </xf>
    <xf numFmtId="0" fontId="63" fillId="0" borderId="137" xfId="0" applyFont="1" applyBorder="1" applyAlignment="1">
      <alignment horizontal="center"/>
    </xf>
    <xf numFmtId="0" fontId="63" fillId="30" borderId="137" xfId="0" applyFont="1" applyFill="1" applyBorder="1" applyAlignment="1">
      <alignment horizontal="left" wrapText="1" indent="1"/>
    </xf>
    <xf numFmtId="0" fontId="63" fillId="0" borderId="137" xfId="0" applyFont="1" applyBorder="1" applyAlignment="1">
      <alignment horizontal="left" wrapText="1" indent="1"/>
    </xf>
    <xf numFmtId="4" fontId="63" fillId="30" borderId="137" xfId="0" applyNumberFormat="1" applyFont="1" applyFill="1" applyBorder="1" applyAlignment="1">
      <alignment horizontal="left" wrapText="1" indent="1"/>
    </xf>
    <xf numFmtId="4" fontId="63" fillId="29" borderId="137" xfId="0" applyNumberFormat="1" applyFont="1" applyFill="1" applyBorder="1" applyAlignment="1">
      <alignment horizontal="right" wrapText="1" indent="1"/>
    </xf>
    <xf numFmtId="4" fontId="64" fillId="0" borderId="137" xfId="0" applyNumberFormat="1" applyFont="1" applyBorder="1" applyAlignment="1">
      <alignment horizontal="right"/>
    </xf>
    <xf numFmtId="169" fontId="63" fillId="0" borderId="137" xfId="0" applyNumberFormat="1" applyFont="1" applyBorder="1" applyAlignment="1">
      <alignment horizontal="center" wrapText="1"/>
    </xf>
    <xf numFmtId="4" fontId="63" fillId="0" borderId="137" xfId="0" applyNumberFormat="1" applyFont="1" applyBorder="1" applyAlignment="1">
      <alignment horizontal="right"/>
    </xf>
    <xf numFmtId="4" fontId="63" fillId="30" borderId="137" xfId="0" applyNumberFormat="1" applyFont="1" applyFill="1" applyBorder="1" applyAlignment="1">
      <alignment horizontal="right" wrapText="1"/>
    </xf>
    <xf numFmtId="0" fontId="40" fillId="6" borderId="150" xfId="0" applyFont="1" applyFill="1" applyBorder="1" applyAlignment="1">
      <alignment horizontal="center"/>
    </xf>
    <xf numFmtId="0" fontId="62" fillId="0" borderId="78" xfId="39" applyFont="1" applyBorder="1" applyAlignment="1">
      <alignment horizontal="center"/>
    </xf>
    <xf numFmtId="0" fontId="61" fillId="6" borderId="115" xfId="0" applyFont="1" applyFill="1" applyBorder="1" applyAlignment="1">
      <alignment horizontal="center" vertical="center"/>
    </xf>
    <xf numFmtId="0" fontId="72" fillId="6" borderId="19" xfId="0" applyFont="1" applyFill="1" applyBorder="1" applyAlignment="1">
      <alignment horizontal="center" vertical="center"/>
    </xf>
    <xf numFmtId="0" fontId="62" fillId="0" borderId="0" xfId="0" applyFont="1" applyAlignment="1">
      <alignment horizontal="right"/>
    </xf>
    <xf numFmtId="4" fontId="63" fillId="24" borderId="8" xfId="0" applyNumberFormat="1" applyFont="1" applyFill="1" applyBorder="1"/>
    <xf numFmtId="4" fontId="63" fillId="24" borderId="3" xfId="0" applyNumberFormat="1" applyFont="1" applyFill="1" applyBorder="1"/>
    <xf numFmtId="4" fontId="63" fillId="24" borderId="0" xfId="1" applyNumberFormat="1" applyFont="1" applyFill="1" applyBorder="1"/>
    <xf numFmtId="4" fontId="62" fillId="24" borderId="8" xfId="0" applyNumberFormat="1" applyFont="1" applyFill="1" applyBorder="1"/>
    <xf numFmtId="4" fontId="62" fillId="24" borderId="3" xfId="0" applyNumberFormat="1" applyFont="1" applyFill="1" applyBorder="1"/>
    <xf numFmtId="4" fontId="63" fillId="24" borderId="105" xfId="0" applyNumberFormat="1" applyFont="1" applyFill="1" applyBorder="1"/>
    <xf numFmtId="0" fontId="70" fillId="26" borderId="102" xfId="0" applyFont="1" applyFill="1" applyBorder="1" applyAlignment="1">
      <alignment horizontal="center" vertical="center" wrapText="1"/>
    </xf>
    <xf numFmtId="4" fontId="63" fillId="24" borderId="0" xfId="0" applyNumberFormat="1" applyFont="1" applyFill="1"/>
    <xf numFmtId="4" fontId="62" fillId="24" borderId="0" xfId="0" applyNumberFormat="1" applyFont="1" applyFill="1"/>
    <xf numFmtId="0" fontId="63" fillId="0" borderId="8" xfId="0" applyFont="1" applyBorder="1"/>
    <xf numFmtId="0" fontId="63" fillId="0" borderId="105" xfId="0" applyFont="1" applyBorder="1"/>
    <xf numFmtId="4" fontId="63" fillId="24" borderId="69" xfId="0" applyNumberFormat="1" applyFont="1" applyFill="1" applyBorder="1"/>
    <xf numFmtId="4" fontId="63" fillId="0" borderId="69" xfId="0" applyNumberFormat="1" applyFont="1" applyBorder="1"/>
    <xf numFmtId="3" fontId="70" fillId="26" borderId="90" xfId="0" applyNumberFormat="1" applyFont="1" applyFill="1" applyBorder="1" applyAlignment="1">
      <alignment horizontal="center"/>
    </xf>
    <xf numFmtId="3" fontId="70" fillId="26" borderId="91" xfId="0" applyNumberFormat="1" applyFont="1" applyFill="1" applyBorder="1" applyAlignment="1">
      <alignment horizontal="center"/>
    </xf>
    <xf numFmtId="3" fontId="70" fillId="26" borderId="92" xfId="0" applyNumberFormat="1" applyFont="1" applyFill="1" applyBorder="1" applyAlignment="1">
      <alignment horizontal="center"/>
    </xf>
    <xf numFmtId="4" fontId="63" fillId="24" borderId="46" xfId="0" applyNumberFormat="1" applyFont="1" applyFill="1" applyBorder="1"/>
    <xf numFmtId="4" fontId="63" fillId="24" borderId="54" xfId="0" applyNumberFormat="1" applyFont="1" applyFill="1" applyBorder="1"/>
    <xf numFmtId="4" fontId="63" fillId="24" borderId="48" xfId="0" applyNumberFormat="1" applyFont="1" applyFill="1" applyBorder="1"/>
    <xf numFmtId="4" fontId="63" fillId="0" borderId="135" xfId="0" applyNumberFormat="1" applyFont="1" applyBorder="1"/>
    <xf numFmtId="4" fontId="63" fillId="24" borderId="135" xfId="0" applyNumberFormat="1" applyFont="1" applyFill="1" applyBorder="1"/>
    <xf numFmtId="4" fontId="63" fillId="24" borderId="136" xfId="0" applyNumberFormat="1" applyFont="1" applyFill="1" applyBorder="1"/>
    <xf numFmtId="4" fontId="63" fillId="24" borderId="74" xfId="0" applyNumberFormat="1" applyFont="1" applyFill="1" applyBorder="1"/>
    <xf numFmtId="4" fontId="63" fillId="24" borderId="127" xfId="0" applyNumberFormat="1" applyFont="1" applyFill="1" applyBorder="1"/>
    <xf numFmtId="0" fontId="61" fillId="6" borderId="21" xfId="0" applyFont="1" applyFill="1" applyBorder="1" applyAlignment="1">
      <alignment horizontal="center" vertical="center"/>
    </xf>
    <xf numFmtId="0" fontId="72" fillId="6" borderId="23" xfId="0" applyFont="1" applyFill="1" applyBorder="1" applyAlignment="1">
      <alignment horizontal="center" vertical="center"/>
    </xf>
    <xf numFmtId="4" fontId="63" fillId="0" borderId="54" xfId="0" applyNumberFormat="1" applyFont="1" applyBorder="1"/>
    <xf numFmtId="4" fontId="63" fillId="0" borderId="136" xfId="0" applyNumberFormat="1" applyFont="1" applyBorder="1"/>
    <xf numFmtId="0" fontId="61" fillId="6" borderId="0" xfId="0" applyFont="1" applyFill="1" applyAlignment="1">
      <alignment horizontal="left" vertical="center"/>
    </xf>
    <xf numFmtId="3" fontId="62" fillId="24" borderId="0" xfId="0" applyNumberFormat="1" applyFont="1" applyFill="1"/>
    <xf numFmtId="4" fontId="63" fillId="0" borderId="0" xfId="0" applyNumberFormat="1" applyFont="1" applyAlignment="1">
      <alignment horizontal="right" vertical="center"/>
    </xf>
    <xf numFmtId="3" fontId="63" fillId="24" borderId="0" xfId="0" applyNumberFormat="1" applyFont="1" applyFill="1" applyAlignment="1">
      <alignment horizontal="right" vertical="center"/>
    </xf>
    <xf numFmtId="3" fontId="63" fillId="0" borderId="0" xfId="0" applyNumberFormat="1" applyFont="1" applyAlignment="1">
      <alignment horizontal="right" vertical="center"/>
    </xf>
    <xf numFmtId="9" fontId="63" fillId="0" borderId="0" xfId="16" applyFont="1" applyAlignment="1">
      <alignment horizontal="right" vertical="center"/>
    </xf>
    <xf numFmtId="9" fontId="63" fillId="0" borderId="0" xfId="7" applyFont="1" applyAlignment="1">
      <alignment horizontal="right" vertical="center"/>
    </xf>
    <xf numFmtId="3" fontId="63" fillId="0" borderId="0" xfId="0" applyNumberFormat="1" applyFont="1" applyAlignment="1">
      <alignment horizontal="right"/>
    </xf>
    <xf numFmtId="3" fontId="63" fillId="0" borderId="3" xfId="0" applyNumberFormat="1" applyFont="1" applyBorder="1"/>
    <xf numFmtId="0" fontId="72" fillId="6" borderId="135" xfId="0" applyFont="1" applyFill="1" applyBorder="1" applyAlignment="1">
      <alignment horizontal="center" vertical="center"/>
    </xf>
    <xf numFmtId="0" fontId="72" fillId="6" borderId="106" xfId="0" applyFont="1" applyFill="1" applyBorder="1" applyAlignment="1">
      <alignment horizontal="center" vertical="center"/>
    </xf>
    <xf numFmtId="3" fontId="72" fillId="6" borderId="106" xfId="0" applyNumberFormat="1" applyFont="1" applyFill="1" applyBorder="1" applyAlignment="1">
      <alignment horizontal="right" vertical="center"/>
    </xf>
    <xf numFmtId="3" fontId="72" fillId="6" borderId="103" xfId="0" applyNumberFormat="1" applyFont="1" applyFill="1" applyBorder="1" applyAlignment="1">
      <alignment horizontal="right" vertical="center"/>
    </xf>
    <xf numFmtId="0" fontId="119" fillId="0" borderId="0" xfId="17" applyFont="1" applyAlignment="1">
      <alignment wrapText="1"/>
    </xf>
    <xf numFmtId="0" fontId="72" fillId="6" borderId="136" xfId="0" applyFont="1" applyFill="1" applyBorder="1" applyAlignment="1">
      <alignment horizontal="center" vertical="center"/>
    </xf>
    <xf numFmtId="2" fontId="63" fillId="0" borderId="0" xfId="0" applyNumberFormat="1" applyFont="1" applyAlignment="1">
      <alignment horizontal="right"/>
    </xf>
    <xf numFmtId="0" fontId="63" fillId="40" borderId="105" xfId="0" applyFont="1" applyFill="1" applyBorder="1"/>
    <xf numFmtId="0" fontId="72" fillId="6" borderId="91" xfId="0" applyFont="1" applyFill="1" applyBorder="1" applyAlignment="1">
      <alignment horizontal="center" vertical="center" wrapText="1"/>
    </xf>
    <xf numFmtId="0" fontId="72" fillId="6" borderId="135" xfId="0" applyFont="1" applyFill="1" applyBorder="1" applyAlignment="1">
      <alignment horizontal="center" vertical="center" wrapText="1"/>
    </xf>
    <xf numFmtId="0" fontId="72" fillId="6" borderId="136" xfId="0" applyFont="1" applyFill="1" applyBorder="1" applyAlignment="1">
      <alignment horizontal="center" vertical="center" wrapText="1"/>
    </xf>
    <xf numFmtId="0" fontId="64" fillId="20" borderId="135" xfId="0" applyFont="1" applyFill="1" applyBorder="1" applyAlignment="1">
      <alignment horizontal="center"/>
    </xf>
    <xf numFmtId="0" fontId="64" fillId="20" borderId="136" xfId="0" applyFont="1" applyFill="1" applyBorder="1" applyAlignment="1">
      <alignment horizontal="center"/>
    </xf>
    <xf numFmtId="3" fontId="63" fillId="0" borderId="7" xfId="1" applyNumberFormat="1" applyFont="1" applyBorder="1" applyAlignment="1">
      <alignment horizontal="right" vertical="center"/>
    </xf>
    <xf numFmtId="3" fontId="63" fillId="0" borderId="0" xfId="1" applyNumberFormat="1" applyFont="1" applyBorder="1" applyAlignment="1">
      <alignment horizontal="right" vertical="center"/>
    </xf>
    <xf numFmtId="3" fontId="63" fillId="0" borderId="3" xfId="1" applyNumberFormat="1" applyFont="1" applyBorder="1" applyAlignment="1">
      <alignment horizontal="right" vertical="center"/>
    </xf>
    <xf numFmtId="0" fontId="63" fillId="0" borderId="3" xfId="0" applyFont="1" applyBorder="1" applyAlignment="1">
      <alignment horizontal="right"/>
    </xf>
    <xf numFmtId="0" fontId="79" fillId="0" borderId="0" xfId="0" applyFont="1"/>
    <xf numFmtId="37" fontId="73" fillId="0" borderId="0" xfId="1" applyNumberFormat="1" applyFont="1" applyAlignment="1">
      <alignment horizontal="center" vertical="center"/>
    </xf>
    <xf numFmtId="2" fontId="63" fillId="0" borderId="0" xfId="0" applyNumberFormat="1" applyFont="1" applyAlignment="1">
      <alignment horizontal="right" vertical="center"/>
    </xf>
    <xf numFmtId="3" fontId="63" fillId="24" borderId="0" xfId="0" applyNumberFormat="1" applyFont="1" applyFill="1"/>
    <xf numFmtId="0" fontId="63" fillId="24" borderId="0" xfId="0" applyFont="1" applyFill="1"/>
    <xf numFmtId="166" fontId="63" fillId="0" borderId="0" xfId="1" applyNumberFormat="1" applyFont="1" applyFill="1" applyBorder="1"/>
    <xf numFmtId="0" fontId="63" fillId="24" borderId="8" xfId="0" applyFont="1" applyFill="1" applyBorder="1"/>
    <xf numFmtId="0" fontId="63" fillId="24" borderId="0" xfId="0" applyFont="1" applyFill="1" applyAlignment="1">
      <alignment horizontal="right"/>
    </xf>
    <xf numFmtId="0" fontId="63" fillId="24" borderId="8" xfId="0" applyFont="1" applyFill="1" applyBorder="1" applyAlignment="1">
      <alignment horizontal="center" vertical="center"/>
    </xf>
    <xf numFmtId="0" fontId="63" fillId="24" borderId="0" xfId="0" applyFont="1" applyFill="1" applyAlignment="1">
      <alignment horizontal="left" vertical="top"/>
    </xf>
    <xf numFmtId="3" fontId="63" fillId="24" borderId="0" xfId="0" applyNumberFormat="1" applyFont="1" applyFill="1" applyAlignment="1">
      <alignment horizontal="right"/>
    </xf>
    <xf numFmtId="168" fontId="63" fillId="24" borderId="0" xfId="0" applyNumberFormat="1" applyFont="1" applyFill="1"/>
    <xf numFmtId="0" fontId="63" fillId="24" borderId="0" xfId="0" applyFont="1" applyFill="1" applyAlignment="1">
      <alignment horizontal="left"/>
    </xf>
    <xf numFmtId="0" fontId="63" fillId="24" borderId="7" xfId="0" applyFont="1" applyFill="1" applyBorder="1" applyAlignment="1">
      <alignment horizontal="right"/>
    </xf>
    <xf numFmtId="0" fontId="63" fillId="24" borderId="7" xfId="0" applyFont="1" applyFill="1" applyBorder="1" applyAlignment="1">
      <alignment horizontal="left" vertical="center"/>
    </xf>
    <xf numFmtId="2" fontId="63" fillId="24" borderId="7" xfId="0" applyNumberFormat="1" applyFont="1" applyFill="1" applyBorder="1" applyAlignment="1">
      <alignment horizontal="right"/>
    </xf>
    <xf numFmtId="3" fontId="63" fillId="24" borderId="7" xfId="1" applyNumberFormat="1" applyFont="1" applyFill="1" applyBorder="1" applyAlignment="1">
      <alignment horizontal="right" vertical="center"/>
    </xf>
    <xf numFmtId="3" fontId="63" fillId="24" borderId="0" xfId="1" applyNumberFormat="1" applyFont="1" applyFill="1" applyBorder="1" applyAlignment="1">
      <alignment horizontal="right" vertical="center"/>
    </xf>
    <xf numFmtId="0" fontId="62" fillId="0" borderId="90" xfId="55" applyNumberFormat="1" applyFont="1" applyBorder="1" applyAlignment="1">
      <alignment horizontal="center" vertical="center"/>
    </xf>
    <xf numFmtId="166" fontId="62" fillId="24" borderId="60" xfId="1" applyNumberFormat="1" applyFont="1" applyFill="1" applyBorder="1" applyAlignment="1">
      <alignment horizontal="center" vertical="center"/>
    </xf>
    <xf numFmtId="166" fontId="62" fillId="24" borderId="93" xfId="1" applyNumberFormat="1" applyFont="1" applyFill="1" applyBorder="1" applyAlignment="1">
      <alignment horizontal="center" vertical="center"/>
    </xf>
    <xf numFmtId="166" fontId="62" fillId="24" borderId="91" xfId="1" applyNumberFormat="1" applyFont="1" applyFill="1" applyBorder="1" applyAlignment="1">
      <alignment horizontal="center" vertical="center"/>
    </xf>
    <xf numFmtId="166" fontId="62" fillId="24" borderId="69" xfId="1" applyNumberFormat="1" applyFont="1" applyFill="1" applyBorder="1" applyAlignment="1">
      <alignment horizontal="center" vertical="center"/>
    </xf>
    <xf numFmtId="3" fontId="64" fillId="0" borderId="0" xfId="0" applyNumberFormat="1" applyFont="1"/>
    <xf numFmtId="0" fontId="63" fillId="0" borderId="7" xfId="0" applyFont="1" applyBorder="1" applyAlignment="1">
      <alignment horizontal="center" vertical="center" wrapText="1"/>
    </xf>
    <xf numFmtId="166" fontId="63" fillId="0" borderId="0" xfId="1" applyNumberFormat="1" applyFont="1" applyBorder="1"/>
    <xf numFmtId="0" fontId="61" fillId="0" borderId="0" xfId="44" applyFont="1" applyAlignment="1">
      <alignment vertical="center"/>
    </xf>
    <xf numFmtId="0" fontId="113" fillId="0" borderId="0" xfId="44" applyFont="1" applyAlignment="1">
      <alignment vertical="center"/>
    </xf>
    <xf numFmtId="38" fontId="72" fillId="0" borderId="0" xfId="45" applyFont="1" applyFill="1" applyAlignment="1"/>
    <xf numFmtId="0" fontId="64" fillId="10" borderId="69" xfId="44" applyFont="1" applyFill="1" applyBorder="1" applyAlignment="1" applyProtection="1">
      <alignment horizontal="center" vertical="center"/>
      <protection locked="0"/>
    </xf>
    <xf numFmtId="0" fontId="64" fillId="0" borderId="69" xfId="44" applyFont="1" applyBorder="1" applyAlignment="1">
      <alignment horizontal="center" vertical="center"/>
    </xf>
    <xf numFmtId="2" fontId="63" fillId="24" borderId="69" xfId="44" applyNumberFormat="1" applyFont="1" applyFill="1" applyBorder="1" applyProtection="1">
      <protection locked="0"/>
    </xf>
    <xf numFmtId="4" fontId="63" fillId="24" borderId="11" xfId="0" applyNumberFormat="1" applyFont="1" applyFill="1" applyBorder="1"/>
    <xf numFmtId="4" fontId="63" fillId="24" borderId="78" xfId="0" applyNumberFormat="1" applyFont="1" applyFill="1" applyBorder="1"/>
    <xf numFmtId="4" fontId="63" fillId="0" borderId="78" xfId="0" applyNumberFormat="1" applyFont="1" applyBorder="1"/>
    <xf numFmtId="4" fontId="63" fillId="0" borderId="11" xfId="0" applyNumberFormat="1" applyFont="1" applyBorder="1"/>
    <xf numFmtId="3" fontId="62" fillId="0" borderId="78" xfId="0" applyNumberFormat="1" applyFont="1" applyBorder="1"/>
    <xf numFmtId="0" fontId="63" fillId="40" borderId="11" xfId="0" applyFont="1" applyFill="1" applyBorder="1"/>
    <xf numFmtId="2" fontId="63" fillId="40" borderId="11" xfId="0" applyNumberFormat="1" applyFont="1" applyFill="1" applyBorder="1"/>
    <xf numFmtId="2" fontId="63" fillId="40" borderId="11" xfId="0" applyNumberFormat="1" applyFont="1" applyFill="1" applyBorder="1" applyAlignment="1">
      <alignment horizontal="right"/>
    </xf>
    <xf numFmtId="3" fontId="63" fillId="40" borderId="11" xfId="0" applyNumberFormat="1" applyFont="1" applyFill="1" applyBorder="1" applyAlignment="1">
      <alignment horizontal="right" vertical="center"/>
    </xf>
    <xf numFmtId="3" fontId="63" fillId="40" borderId="78" xfId="0" applyNumberFormat="1" applyFont="1" applyFill="1" applyBorder="1" applyAlignment="1">
      <alignment horizontal="right" vertical="center"/>
    </xf>
    <xf numFmtId="4" fontId="68" fillId="0" borderId="147" xfId="0" applyNumberFormat="1" applyFont="1" applyBorder="1" applyAlignment="1">
      <alignment vertical="center"/>
    </xf>
    <xf numFmtId="4" fontId="68" fillId="0" borderId="78" xfId="0" applyNumberFormat="1" applyFont="1" applyBorder="1" applyAlignment="1">
      <alignment vertical="center"/>
    </xf>
    <xf numFmtId="0" fontId="62" fillId="0" borderId="152" xfId="39" applyFont="1" applyBorder="1" applyAlignment="1">
      <alignment horizontal="center"/>
    </xf>
    <xf numFmtId="0" fontId="64" fillId="30" borderId="78" xfId="0" applyFont="1" applyFill="1" applyBorder="1" applyAlignment="1">
      <alignment horizontal="center" wrapText="1"/>
    </xf>
    <xf numFmtId="0" fontId="63" fillId="0" borderId="78" xfId="0" applyFont="1" applyBorder="1" applyAlignment="1">
      <alignment horizontal="center" vertical="top" wrapText="1"/>
    </xf>
    <xf numFmtId="0" fontId="63" fillId="0" borderId="78" xfId="0" applyFont="1" applyBorder="1" applyAlignment="1">
      <alignment horizontal="center" vertical="center" wrapText="1"/>
    </xf>
    <xf numFmtId="0" fontId="63" fillId="0" borderId="78" xfId="0" applyFont="1" applyBorder="1" applyAlignment="1">
      <alignment horizontal="left" wrapText="1"/>
    </xf>
    <xf numFmtId="4" fontId="63" fillId="0" borderId="78" xfId="0" applyNumberFormat="1" applyFont="1" applyBorder="1" applyAlignment="1">
      <alignment wrapText="1"/>
    </xf>
    <xf numFmtId="2" fontId="103" fillId="0" borderId="78" xfId="0" applyNumberFormat="1" applyFont="1" applyBorder="1" applyAlignment="1">
      <alignment wrapText="1"/>
    </xf>
    <xf numFmtId="0" fontId="106" fillId="0" borderId="78" xfId="0" applyFont="1" applyBorder="1" applyAlignment="1">
      <alignment wrapText="1"/>
    </xf>
    <xf numFmtId="167" fontId="63" fillId="0" borderId="78" xfId="0" applyNumberFormat="1" applyFont="1" applyBorder="1" applyAlignment="1">
      <alignment horizontal="right" wrapText="1"/>
    </xf>
    <xf numFmtId="0" fontId="103" fillId="0" borderId="78" xfId="0" applyFont="1" applyBorder="1" applyAlignment="1">
      <alignment wrapText="1"/>
    </xf>
    <xf numFmtId="4" fontId="63" fillId="0" borderId="78" xfId="0" applyNumberFormat="1" applyFont="1" applyBorder="1" applyAlignment="1">
      <alignment horizontal="right" wrapText="1"/>
    </xf>
    <xf numFmtId="2" fontId="106" fillId="0" borderId="78" xfId="0" applyNumberFormat="1" applyFont="1" applyBorder="1" applyAlignment="1">
      <alignment wrapText="1"/>
    </xf>
    <xf numFmtId="0" fontId="107" fillId="0" borderId="78" xfId="0" applyFont="1" applyBorder="1" applyAlignment="1">
      <alignment horizontal="right" wrapText="1"/>
    </xf>
    <xf numFmtId="0" fontId="103" fillId="31" borderId="78" xfId="0" applyFont="1" applyFill="1" applyBorder="1" applyAlignment="1">
      <alignment wrapText="1"/>
    </xf>
    <xf numFmtId="4" fontId="64" fillId="15" borderId="78" xfId="0" applyNumberFormat="1" applyFont="1" applyFill="1" applyBorder="1" applyAlignment="1">
      <alignment wrapText="1"/>
    </xf>
    <xf numFmtId="2" fontId="64" fillId="15" borderId="78" xfId="0" applyNumberFormat="1" applyFont="1" applyFill="1" applyBorder="1" applyAlignment="1">
      <alignment wrapText="1"/>
    </xf>
    <xf numFmtId="0" fontId="74" fillId="15" borderId="78" xfId="0" applyFont="1" applyFill="1" applyBorder="1" applyAlignment="1">
      <alignment horizontal="right" wrapText="1"/>
    </xf>
    <xf numFmtId="167" fontId="64" fillId="15" borderId="78" xfId="0" applyNumberFormat="1" applyFont="1" applyFill="1" applyBorder="1" applyAlignment="1">
      <alignment horizontal="right" wrapText="1"/>
    </xf>
    <xf numFmtId="0" fontId="64" fillId="15" borderId="78" xfId="0" applyFont="1" applyFill="1" applyBorder="1" applyAlignment="1">
      <alignment wrapText="1"/>
    </xf>
    <xf numFmtId="4" fontId="64" fillId="15" borderId="78" xfId="0" applyNumberFormat="1" applyFont="1" applyFill="1" applyBorder="1" applyAlignment="1">
      <alignment horizontal="right" wrapText="1"/>
    </xf>
    <xf numFmtId="2" fontId="108" fillId="0" borderId="78" xfId="0" applyNumberFormat="1" applyFont="1" applyBorder="1" applyAlignment="1">
      <alignment wrapText="1"/>
    </xf>
    <xf numFmtId="0" fontId="108" fillId="0" borderId="78" xfId="0" applyFont="1" applyBorder="1" applyAlignment="1">
      <alignment wrapText="1"/>
    </xf>
    <xf numFmtId="4" fontId="64" fillId="39" borderId="78" xfId="0" applyNumberFormat="1" applyFont="1" applyFill="1" applyBorder="1"/>
    <xf numFmtId="0" fontId="63" fillId="39" borderId="78" xfId="0" applyFont="1" applyFill="1" applyBorder="1"/>
    <xf numFmtId="4" fontId="64" fillId="39" borderId="78" xfId="0" applyNumberFormat="1" applyFont="1" applyFill="1" applyBorder="1" applyAlignment="1">
      <alignment horizontal="right" wrapText="1"/>
    </xf>
    <xf numFmtId="0" fontId="63" fillId="0" borderId="78" xfId="0" applyFont="1" applyBorder="1" applyAlignment="1">
      <alignment wrapText="1"/>
    </xf>
    <xf numFmtId="0" fontId="63" fillId="0" borderId="78" xfId="0" applyFont="1" applyBorder="1" applyAlignment="1">
      <alignment horizontal="right" wrapText="1"/>
    </xf>
    <xf numFmtId="0" fontId="73" fillId="15" borderId="78" xfId="0" applyFont="1" applyFill="1" applyBorder="1" applyAlignment="1">
      <alignment horizontal="right" wrapText="1"/>
    </xf>
    <xf numFmtId="0" fontId="63" fillId="15" borderId="78" xfId="0" applyFont="1" applyFill="1" applyBorder="1" applyAlignment="1">
      <alignment wrapText="1"/>
    </xf>
    <xf numFmtId="0" fontId="63" fillId="15" borderId="78" xfId="0" applyFont="1" applyFill="1" applyBorder="1" applyAlignment="1">
      <alignment horizontal="right" wrapText="1"/>
    </xf>
    <xf numFmtId="167" fontId="63" fillId="0" borderId="78" xfId="0" applyNumberFormat="1" applyFont="1" applyBorder="1" applyAlignment="1">
      <alignment wrapText="1"/>
    </xf>
    <xf numFmtId="2" fontId="63" fillId="0" borderId="78" xfId="0" applyNumberFormat="1" applyFont="1" applyBorder="1" applyAlignment="1">
      <alignment wrapText="1"/>
    </xf>
    <xf numFmtId="0" fontId="63" fillId="0" borderId="78" xfId="0" applyFont="1" applyBorder="1" applyAlignment="1">
      <alignment horizontal="left"/>
    </xf>
    <xf numFmtId="0" fontId="63" fillId="0" borderId="78" xfId="0" applyFont="1" applyBorder="1" applyAlignment="1">
      <alignment horizontal="center" wrapText="1"/>
    </xf>
    <xf numFmtId="0" fontId="64" fillId="0" borderId="78" xfId="0" applyFont="1" applyBorder="1" applyAlignment="1">
      <alignment horizontal="center" vertical="center" wrapText="1"/>
    </xf>
    <xf numFmtId="0" fontId="64" fillId="0" borderId="78" xfId="0" applyFont="1" applyBorder="1" applyAlignment="1">
      <alignment horizontal="center"/>
    </xf>
    <xf numFmtId="2" fontId="63" fillId="0" borderId="78" xfId="0" applyNumberFormat="1" applyFont="1" applyBorder="1" applyAlignment="1">
      <alignment horizontal="right" wrapText="1"/>
    </xf>
    <xf numFmtId="0" fontId="63" fillId="39" borderId="78" xfId="0" applyFont="1" applyFill="1" applyBorder="1" applyAlignment="1">
      <alignment wrapText="1"/>
    </xf>
    <xf numFmtId="168" fontId="63" fillId="0" borderId="78" xfId="0" applyNumberFormat="1" applyFont="1" applyBorder="1" applyAlignment="1">
      <alignment wrapText="1"/>
    </xf>
    <xf numFmtId="0" fontId="63" fillId="30" borderId="78" xfId="0" applyFont="1" applyFill="1" applyBorder="1" applyAlignment="1">
      <alignment wrapText="1"/>
    </xf>
    <xf numFmtId="0" fontId="42" fillId="0" borderId="138" xfId="0" applyFont="1" applyBorder="1" applyAlignment="1">
      <alignment vertical="top" wrapText="1"/>
    </xf>
    <xf numFmtId="0" fontId="80" fillId="4" borderId="158" xfId="20" applyFont="1" applyFill="1" applyBorder="1" applyAlignment="1">
      <alignment vertical="center" wrapText="1"/>
    </xf>
    <xf numFmtId="0" fontId="80" fillId="4" borderId="156" xfId="20" applyFont="1" applyFill="1" applyBorder="1" applyAlignment="1">
      <alignment horizontal="center" vertical="center" wrapText="1"/>
    </xf>
    <xf numFmtId="0" fontId="80" fillId="4" borderId="159" xfId="20" applyFont="1" applyFill="1" applyBorder="1" applyAlignment="1">
      <alignment horizontal="center" vertical="center" wrapText="1"/>
    </xf>
    <xf numFmtId="0" fontId="78" fillId="11" borderId="160" xfId="20" applyFont="1" applyFill="1" applyBorder="1" applyAlignment="1">
      <alignment vertical="center"/>
    </xf>
    <xf numFmtId="0" fontId="78" fillId="11" borderId="162" xfId="20" applyFont="1" applyFill="1" applyBorder="1" applyAlignment="1">
      <alignment vertical="center"/>
    </xf>
    <xf numFmtId="0" fontId="63" fillId="10" borderId="161" xfId="17" applyFont="1" applyFill="1" applyBorder="1" applyAlignment="1">
      <alignment wrapText="1"/>
    </xf>
    <xf numFmtId="0" fontId="63" fillId="10" borderId="160" xfId="17" applyFont="1" applyFill="1" applyBorder="1" applyAlignment="1">
      <alignment wrapText="1"/>
    </xf>
    <xf numFmtId="39" fontId="62" fillId="10" borderId="158" xfId="17" applyNumberFormat="1" applyFont="1" applyFill="1" applyBorder="1" applyAlignment="1">
      <alignment wrapText="1"/>
    </xf>
    <xf numFmtId="0" fontId="63" fillId="10" borderId="162" xfId="17" applyFont="1" applyFill="1" applyBorder="1" applyAlignment="1">
      <alignment wrapText="1"/>
    </xf>
    <xf numFmtId="0" fontId="61" fillId="6" borderId="155" xfId="17" applyFont="1" applyFill="1" applyBorder="1" applyAlignment="1">
      <alignment horizontal="center" vertical="center" wrapText="1"/>
    </xf>
    <xf numFmtId="0" fontId="61" fillId="6" borderId="156" xfId="17" applyFont="1" applyFill="1" applyBorder="1" applyAlignment="1">
      <alignment horizontal="center" vertical="center" wrapText="1"/>
    </xf>
    <xf numFmtId="0" fontId="61" fillId="6" borderId="159" xfId="17" applyFont="1" applyFill="1" applyBorder="1" applyAlignment="1">
      <alignment horizontal="center" vertical="center" wrapText="1"/>
    </xf>
    <xf numFmtId="166" fontId="63" fillId="0" borderId="164" xfId="0" applyNumberFormat="1" applyFont="1" applyBorder="1"/>
    <xf numFmtId="0" fontId="61" fillId="6" borderId="164" xfId="0" applyFont="1" applyFill="1" applyBorder="1" applyAlignment="1">
      <alignment horizontal="center" vertical="center"/>
    </xf>
    <xf numFmtId="0" fontId="62" fillId="32" borderId="164" xfId="0" applyFont="1" applyFill="1" applyBorder="1"/>
    <xf numFmtId="0" fontId="71" fillId="23" borderId="164" xfId="0" applyFont="1" applyFill="1" applyBorder="1"/>
    <xf numFmtId="3" fontId="70" fillId="26" borderId="161" xfId="0" applyNumberFormat="1" applyFont="1" applyFill="1" applyBorder="1" applyAlignment="1">
      <alignment horizontal="center"/>
    </xf>
    <xf numFmtId="166" fontId="62" fillId="0" borderId="162" xfId="1" applyNumberFormat="1" applyFont="1" applyBorder="1"/>
    <xf numFmtId="0" fontId="63" fillId="0" borderId="154" xfId="0" applyFont="1" applyBorder="1" applyAlignment="1">
      <alignment horizontal="center" vertical="center" wrapText="1"/>
    </xf>
    <xf numFmtId="0" fontId="63" fillId="0" borderId="154" xfId="0" applyFont="1" applyBorder="1" applyAlignment="1">
      <alignment horizontal="center" vertical="center"/>
    </xf>
    <xf numFmtId="0" fontId="64" fillId="0" borderId="154" xfId="0" applyFont="1" applyBorder="1" applyAlignment="1">
      <alignment horizontal="center" vertical="center"/>
    </xf>
    <xf numFmtId="3" fontId="63" fillId="0" borderId="160" xfId="0" applyNumberFormat="1" applyFont="1" applyBorder="1" applyAlignment="1">
      <alignment horizontal="center"/>
    </xf>
    <xf numFmtId="0" fontId="63" fillId="0" borderId="163" xfId="0" applyFont="1" applyBorder="1" applyAlignment="1">
      <alignment horizontal="center" vertical="center" wrapText="1"/>
    </xf>
    <xf numFmtId="0" fontId="63" fillId="0" borderId="164" xfId="0" applyFont="1" applyBorder="1" applyAlignment="1">
      <alignment horizontal="center" vertical="center" wrapText="1"/>
    </xf>
    <xf numFmtId="0" fontId="64" fillId="30" borderId="163" xfId="0" applyFont="1" applyFill="1" applyBorder="1" applyAlignment="1">
      <alignment horizontal="center" wrapText="1"/>
    </xf>
    <xf numFmtId="0" fontId="64" fillId="30" borderId="163" xfId="0" applyFont="1" applyFill="1" applyBorder="1" applyAlignment="1">
      <alignment horizontal="right" wrapText="1" indent="1"/>
    </xf>
    <xf numFmtId="0" fontId="64" fillId="0" borderId="164" xfId="0" applyFont="1" applyBorder="1" applyAlignment="1">
      <alignment horizontal="center" vertical="center" wrapText="1"/>
    </xf>
    <xf numFmtId="0" fontId="63" fillId="39" borderId="163" xfId="0" applyFont="1" applyFill="1" applyBorder="1" applyAlignment="1">
      <alignment horizontal="center"/>
    </xf>
    <xf numFmtId="0" fontId="72" fillId="6" borderId="15" xfId="44" applyFont="1" applyFill="1" applyBorder="1" applyAlignment="1" applyProtection="1">
      <alignment horizontal="center" vertical="center" wrapText="1"/>
      <protection locked="0"/>
    </xf>
    <xf numFmtId="0" fontId="72" fillId="6" borderId="71" xfId="44" applyFont="1" applyFill="1" applyBorder="1" applyAlignment="1" applyProtection="1">
      <alignment horizontal="center" vertical="center" wrapText="1"/>
      <protection locked="0"/>
    </xf>
    <xf numFmtId="0" fontId="72" fillId="6" borderId="70" xfId="44" applyFont="1" applyFill="1" applyBorder="1" applyAlignment="1" applyProtection="1">
      <alignment horizontal="center" wrapText="1"/>
      <protection locked="0"/>
    </xf>
    <xf numFmtId="0" fontId="72" fillId="6" borderId="63" xfId="44" applyFont="1" applyFill="1" applyBorder="1" applyAlignment="1" applyProtection="1">
      <alignment horizontal="center" vertical="center" wrapText="1"/>
      <protection locked="0"/>
    </xf>
    <xf numFmtId="0" fontId="72" fillId="6" borderId="60" xfId="44" applyFont="1" applyFill="1" applyBorder="1" applyAlignment="1" applyProtection="1">
      <alignment horizontal="center" wrapText="1"/>
      <protection locked="0"/>
    </xf>
    <xf numFmtId="0" fontId="28" fillId="10" borderId="0" xfId="21" applyFont="1" applyFill="1" applyAlignment="1">
      <alignment horizontal="center" vertical="center"/>
    </xf>
    <xf numFmtId="0" fontId="28" fillId="10" borderId="0" xfId="21" applyFont="1" applyFill="1" applyAlignment="1">
      <alignment horizontal="center"/>
    </xf>
    <xf numFmtId="0" fontId="28" fillId="10" borderId="0" xfId="21" applyFont="1" applyFill="1"/>
    <xf numFmtId="0" fontId="27" fillId="27" borderId="0" xfId="21" applyFont="1" applyFill="1"/>
    <xf numFmtId="0" fontId="28" fillId="27" borderId="0" xfId="21" applyFont="1" applyFill="1" applyAlignment="1">
      <alignment horizontal="center" vertical="center"/>
    </xf>
    <xf numFmtId="0" fontId="28" fillId="27" borderId="0" xfId="21" applyFont="1" applyFill="1" applyAlignment="1">
      <alignment horizontal="center"/>
    </xf>
    <xf numFmtId="0" fontId="28" fillId="27" borderId="0" xfId="21" applyFont="1" applyFill="1"/>
    <xf numFmtId="0" fontId="120" fillId="26" borderId="0" xfId="21" applyFont="1" applyFill="1"/>
    <xf numFmtId="0" fontId="28" fillId="26" borderId="0" xfId="21" applyFont="1" applyFill="1" applyAlignment="1">
      <alignment horizontal="center" vertical="center"/>
    </xf>
    <xf numFmtId="0" fontId="28" fillId="26" borderId="0" xfId="21" applyFont="1" applyFill="1" applyAlignment="1">
      <alignment horizontal="center"/>
    </xf>
    <xf numFmtId="0" fontId="28" fillId="26" borderId="0" xfId="21" applyFont="1" applyFill="1"/>
    <xf numFmtId="0" fontId="61" fillId="56" borderId="69" xfId="21" applyFont="1" applyFill="1" applyBorder="1" applyAlignment="1">
      <alignment horizontal="center" vertical="center"/>
    </xf>
    <xf numFmtId="2" fontId="63" fillId="0" borderId="83" xfId="44" applyNumberFormat="1" applyFont="1" applyBorder="1"/>
    <xf numFmtId="2" fontId="63" fillId="0" borderId="85" xfId="44" applyNumberFormat="1" applyFont="1" applyBorder="1"/>
    <xf numFmtId="0" fontId="68" fillId="0" borderId="0" xfId="21" applyFont="1" applyAlignment="1">
      <alignment vertical="center"/>
    </xf>
    <xf numFmtId="0" fontId="68" fillId="0" borderId="0" xfId="21" applyFont="1"/>
    <xf numFmtId="38" fontId="63" fillId="0" borderId="69" xfId="45" applyFont="1" applyFill="1" applyBorder="1" applyAlignment="1" applyProtection="1">
      <protection locked="0"/>
    </xf>
    <xf numFmtId="0" fontId="62" fillId="0" borderId="83" xfId="44" applyFont="1" applyBorder="1"/>
    <xf numFmtId="0" fontId="62" fillId="0" borderId="85" xfId="44" applyFont="1" applyBorder="1"/>
    <xf numFmtId="2" fontId="63" fillId="10" borderId="69" xfId="44" applyNumberFormat="1" applyFont="1" applyFill="1" applyBorder="1" applyProtection="1">
      <protection locked="0"/>
    </xf>
    <xf numFmtId="4" fontId="71" fillId="0" borderId="0" xfId="37" applyNumberFormat="1" applyFont="1" applyFill="1" applyBorder="1" applyAlignment="1">
      <alignment horizontal="right" vertical="center"/>
    </xf>
    <xf numFmtId="0" fontId="62" fillId="0" borderId="17" xfId="3" applyFont="1" applyBorder="1" applyAlignment="1">
      <alignment vertical="top" wrapText="1"/>
    </xf>
    <xf numFmtId="4" fontId="71" fillId="57" borderId="0" xfId="37" applyNumberFormat="1" applyFont="1" applyFill="1" applyBorder="1" applyAlignment="1">
      <alignment horizontal="right" vertical="center"/>
    </xf>
    <xf numFmtId="0" fontId="63" fillId="0" borderId="0" xfId="55" applyNumberFormat="1" applyFont="1" applyFill="1" applyBorder="1" applyAlignment="1">
      <alignment horizontal="center" vertical="center"/>
    </xf>
    <xf numFmtId="0" fontId="62" fillId="0" borderId="0" xfId="55" applyNumberFormat="1" applyFont="1" applyFill="1" applyBorder="1" applyAlignment="1">
      <alignment horizontal="center" vertical="center"/>
    </xf>
    <xf numFmtId="166" fontId="62" fillId="0" borderId="0" xfId="1" applyNumberFormat="1" applyFont="1" applyFill="1" applyBorder="1" applyAlignment="1">
      <alignment horizontal="center" vertical="center"/>
    </xf>
    <xf numFmtId="166" fontId="62" fillId="0" borderId="0" xfId="1" applyNumberFormat="1" applyFont="1" applyFill="1" applyBorder="1"/>
    <xf numFmtId="0" fontId="70" fillId="16" borderId="0" xfId="44" applyFont="1" applyFill="1" applyAlignment="1">
      <alignment vertical="center"/>
    </xf>
    <xf numFmtId="0" fontId="61" fillId="16" borderId="0" xfId="44" applyFont="1" applyFill="1" applyAlignment="1">
      <alignment vertical="center"/>
    </xf>
    <xf numFmtId="3" fontId="62" fillId="24" borderId="0" xfId="46" applyNumberFormat="1" applyFont="1" applyFill="1"/>
    <xf numFmtId="4" fontId="62" fillId="24" borderId="69" xfId="37" applyNumberFormat="1" applyFont="1" applyFill="1" applyBorder="1" applyAlignment="1">
      <alignment horizontal="right" vertical="center"/>
    </xf>
    <xf numFmtId="4" fontId="62" fillId="24" borderId="69" xfId="3" applyNumberFormat="1" applyFont="1" applyFill="1" applyBorder="1" applyAlignment="1">
      <alignment horizontal="right" vertical="center"/>
    </xf>
    <xf numFmtId="180" fontId="92" fillId="0" borderId="168" xfId="23" applyNumberFormat="1" applyFont="1" applyBorder="1" applyAlignment="1">
      <alignment horizontal="center"/>
    </xf>
    <xf numFmtId="0" fontId="63" fillId="24" borderId="172" xfId="0" applyFont="1" applyFill="1" applyBorder="1" applyAlignment="1">
      <alignment horizontal="center" vertical="center"/>
    </xf>
    <xf numFmtId="3" fontId="63" fillId="0" borderId="173" xfId="1" applyNumberFormat="1" applyFont="1" applyBorder="1" applyAlignment="1">
      <alignment horizontal="right" vertical="center"/>
    </xf>
    <xf numFmtId="0" fontId="63" fillId="24" borderId="0" xfId="0" applyFont="1" applyFill="1" applyAlignment="1">
      <alignment horizontal="left" vertical="center"/>
    </xf>
    <xf numFmtId="2" fontId="63" fillId="24" borderId="0" xfId="0" applyNumberFormat="1" applyFont="1" applyFill="1" applyAlignment="1">
      <alignment horizontal="right"/>
    </xf>
    <xf numFmtId="0" fontId="63" fillId="24" borderId="105" xfId="0" applyFont="1" applyFill="1" applyBorder="1" applyAlignment="1">
      <alignment horizontal="center" vertical="center"/>
    </xf>
    <xf numFmtId="0" fontId="63" fillId="24" borderId="149" xfId="0" applyFont="1" applyFill="1" applyBorder="1" applyAlignment="1">
      <alignment horizontal="left" vertical="center"/>
    </xf>
    <xf numFmtId="2" fontId="63" fillId="24" borderId="149" xfId="0" applyNumberFormat="1" applyFont="1" applyFill="1" applyBorder="1" applyAlignment="1">
      <alignment horizontal="right"/>
    </xf>
    <xf numFmtId="0" fontId="63" fillId="24" borderId="149" xfId="0" applyFont="1" applyFill="1" applyBorder="1" applyAlignment="1">
      <alignment horizontal="right"/>
    </xf>
    <xf numFmtId="3" fontId="63" fillId="24" borderId="149" xfId="1" applyNumberFormat="1" applyFont="1" applyFill="1" applyBorder="1" applyAlignment="1">
      <alignment horizontal="right" vertical="center"/>
    </xf>
    <xf numFmtId="3" fontId="63" fillId="0" borderId="149" xfId="1" applyNumberFormat="1" applyFont="1" applyBorder="1" applyAlignment="1">
      <alignment horizontal="right" vertical="center"/>
    </xf>
    <xf numFmtId="3" fontId="63" fillId="0" borderId="137" xfId="1" applyNumberFormat="1" applyFont="1" applyBorder="1" applyAlignment="1">
      <alignment horizontal="right" vertical="center"/>
    </xf>
    <xf numFmtId="4" fontId="63" fillId="24" borderId="0" xfId="0" applyNumberFormat="1" applyFont="1" applyFill="1" applyAlignment="1">
      <alignment horizontal="center" vertical="center"/>
    </xf>
    <xf numFmtId="4" fontId="63" fillId="24" borderId="0" xfId="0" applyNumberFormat="1" applyFont="1" applyFill="1" applyAlignment="1">
      <alignment horizontal="right"/>
    </xf>
    <xf numFmtId="4" fontId="63" fillId="24" borderId="0" xfId="0" applyNumberFormat="1" applyFont="1" applyFill="1" applyAlignment="1">
      <alignment horizontal="right" vertical="center"/>
    </xf>
    <xf numFmtId="4" fontId="63" fillId="24" borderId="0" xfId="0" applyNumberFormat="1" applyFont="1" applyFill="1" applyAlignment="1">
      <alignment horizontal="left"/>
    </xf>
    <xf numFmtId="37" fontId="63" fillId="0" borderId="3" xfId="1" applyNumberFormat="1" applyFont="1" applyBorder="1" applyAlignment="1">
      <alignment horizontal="right" vertical="center"/>
    </xf>
    <xf numFmtId="0" fontId="63" fillId="40" borderId="163" xfId="0" applyFont="1" applyFill="1" applyBorder="1"/>
    <xf numFmtId="0" fontId="63" fillId="40" borderId="22" xfId="0" applyFont="1" applyFill="1" applyBorder="1"/>
    <xf numFmtId="0" fontId="63" fillId="40" borderId="22" xfId="0" applyFont="1" applyFill="1" applyBorder="1" applyAlignment="1">
      <alignment horizontal="center" vertical="center"/>
    </xf>
    <xf numFmtId="4" fontId="63" fillId="40" borderId="22" xfId="0" applyNumberFormat="1" applyFont="1" applyFill="1" applyBorder="1" applyAlignment="1">
      <alignment horizontal="right"/>
    </xf>
    <xf numFmtId="4" fontId="63" fillId="40" borderId="22" xfId="0" applyNumberFormat="1" applyFont="1" applyFill="1" applyBorder="1" applyAlignment="1">
      <alignment horizontal="right" vertical="center"/>
    </xf>
    <xf numFmtId="0" fontId="63" fillId="40" borderId="22" xfId="0" applyFont="1" applyFill="1" applyBorder="1" applyAlignment="1">
      <alignment horizontal="left"/>
    </xf>
    <xf numFmtId="0" fontId="63" fillId="40" borderId="22" xfId="0" applyFont="1" applyFill="1" applyBorder="1" applyAlignment="1">
      <alignment horizontal="right"/>
    </xf>
    <xf numFmtId="3" fontId="63" fillId="40" borderId="23" xfId="0" applyNumberFormat="1" applyFont="1" applyFill="1" applyBorder="1" applyAlignment="1">
      <alignment horizontal="right" vertical="center"/>
    </xf>
    <xf numFmtId="0" fontId="61" fillId="6" borderId="163" xfId="0" applyFont="1" applyFill="1" applyBorder="1" applyAlignment="1">
      <alignment horizontal="center" vertical="center"/>
    </xf>
    <xf numFmtId="0" fontId="61" fillId="6" borderId="22" xfId="0" applyFont="1" applyFill="1" applyBorder="1" applyAlignment="1">
      <alignment horizontal="center" vertical="center"/>
    </xf>
    <xf numFmtId="0" fontId="61" fillId="6" borderId="22" xfId="0" applyFont="1" applyFill="1" applyBorder="1" applyAlignment="1">
      <alignment horizontal="center" vertical="center" wrapText="1"/>
    </xf>
    <xf numFmtId="0" fontId="61" fillId="6" borderId="23" xfId="0" applyFont="1" applyFill="1" applyBorder="1" applyAlignment="1">
      <alignment horizontal="center" vertical="center" wrapText="1"/>
    </xf>
    <xf numFmtId="0" fontId="63" fillId="24" borderId="119" xfId="0" applyFont="1" applyFill="1" applyBorder="1" applyAlignment="1">
      <alignment vertical="center"/>
    </xf>
    <xf numFmtId="0" fontId="63" fillId="24" borderId="69" xfId="0" applyFont="1" applyFill="1" applyBorder="1" applyAlignment="1">
      <alignment vertical="center"/>
    </xf>
    <xf numFmtId="0" fontId="63" fillId="24" borderId="116" xfId="0" applyFont="1" applyFill="1" applyBorder="1" applyAlignment="1">
      <alignment vertical="center"/>
    </xf>
    <xf numFmtId="4" fontId="63" fillId="24" borderId="78" xfId="0" applyNumberFormat="1" applyFont="1" applyFill="1" applyBorder="1" applyAlignment="1">
      <alignment wrapText="1"/>
    </xf>
    <xf numFmtId="4" fontId="63" fillId="24" borderId="78" xfId="0" applyNumberFormat="1" applyFont="1" applyFill="1" applyBorder="1" applyAlignment="1">
      <alignment horizontal="center" wrapText="1"/>
    </xf>
    <xf numFmtId="0" fontId="63" fillId="24" borderId="11" xfId="0" applyFont="1" applyFill="1" applyBorder="1" applyAlignment="1">
      <alignment horizontal="center" wrapText="1"/>
    </xf>
    <xf numFmtId="0" fontId="63" fillId="24" borderId="11" xfId="0" applyFont="1" applyFill="1" applyBorder="1" applyAlignment="1">
      <alignment wrapText="1"/>
    </xf>
    <xf numFmtId="3" fontId="63" fillId="24" borderId="11" xfId="0" applyNumberFormat="1" applyFont="1" applyFill="1" applyBorder="1" applyAlignment="1">
      <alignment wrapText="1"/>
    </xf>
    <xf numFmtId="0" fontId="63" fillId="24" borderId="11" xfId="0" applyFont="1" applyFill="1" applyBorder="1" applyAlignment="1">
      <alignment horizontal="center" vertical="center" wrapText="1"/>
    </xf>
    <xf numFmtId="0" fontId="62" fillId="24" borderId="69" xfId="51" applyFont="1" applyFill="1" applyBorder="1" applyAlignment="1" applyProtection="1">
      <alignment horizontal="center"/>
      <protection locked="0"/>
    </xf>
    <xf numFmtId="3" fontId="63" fillId="24" borderId="0" xfId="0" applyNumberFormat="1" applyFont="1" applyFill="1" applyAlignment="1">
      <alignment horizontal="center" vertical="center"/>
    </xf>
    <xf numFmtId="0" fontId="62" fillId="0" borderId="0" xfId="55" applyNumberFormat="1" applyFont="1" applyFill="1" applyBorder="1" applyAlignment="1">
      <alignment horizontal="left" vertical="center"/>
    </xf>
    <xf numFmtId="0" fontId="61" fillId="55" borderId="174" xfId="1" applyNumberFormat="1" applyFont="1" applyFill="1" applyBorder="1" applyAlignment="1">
      <alignment horizontal="center" vertical="center" wrapText="1"/>
    </xf>
    <xf numFmtId="0" fontId="61" fillId="55" borderId="175" xfId="0" applyFont="1" applyFill="1" applyBorder="1" applyAlignment="1">
      <alignment horizontal="center" vertical="center" wrapText="1"/>
    </xf>
    <xf numFmtId="166" fontId="62" fillId="24" borderId="92" xfId="1" applyNumberFormat="1" applyFont="1" applyFill="1" applyBorder="1" applyAlignment="1">
      <alignment horizontal="center" vertical="center"/>
    </xf>
    <xf numFmtId="0" fontId="62" fillId="0" borderId="176" xfId="55" applyNumberFormat="1" applyFont="1" applyBorder="1" applyAlignment="1">
      <alignment horizontal="center" vertical="center"/>
    </xf>
    <xf numFmtId="166" fontId="62" fillId="24" borderId="168" xfId="1" applyNumberFormat="1" applyFont="1" applyFill="1" applyBorder="1" applyAlignment="1">
      <alignment horizontal="center" vertical="center"/>
    </xf>
    <xf numFmtId="0" fontId="62" fillId="0" borderId="48" xfId="55" applyNumberFormat="1" applyFont="1" applyFill="1" applyBorder="1" applyAlignment="1">
      <alignment horizontal="center" vertical="center"/>
    </xf>
    <xf numFmtId="166" fontId="62" fillId="24" borderId="136" xfId="1" applyNumberFormat="1" applyFont="1" applyFill="1" applyBorder="1" applyAlignment="1">
      <alignment horizontal="center" vertical="center"/>
    </xf>
    <xf numFmtId="4" fontId="71" fillId="0" borderId="0" xfId="0" applyNumberFormat="1" applyFont="1" applyAlignment="1">
      <alignment horizontal="right" vertical="center"/>
    </xf>
    <xf numFmtId="3" fontId="71" fillId="0" borderId="3" xfId="0" applyNumberFormat="1" applyFont="1" applyBorder="1"/>
    <xf numFmtId="4" fontId="63" fillId="0" borderId="0" xfId="0" applyNumberFormat="1" applyFont="1" applyAlignment="1">
      <alignment horizontal="right"/>
    </xf>
    <xf numFmtId="0" fontId="63" fillId="0" borderId="0" xfId="0" applyFont="1" applyAlignment="1">
      <alignment horizontal="left"/>
    </xf>
    <xf numFmtId="0" fontId="62" fillId="0" borderId="0" xfId="58" applyFont="1"/>
    <xf numFmtId="0" fontId="63" fillId="0" borderId="69" xfId="58" applyFont="1" applyBorder="1"/>
    <xf numFmtId="0" fontId="62" fillId="0" borderId="69" xfId="58" applyFont="1" applyBorder="1"/>
    <xf numFmtId="0" fontId="62" fillId="23" borderId="69" xfId="58" applyFont="1" applyFill="1" applyBorder="1"/>
    <xf numFmtId="2" fontId="62" fillId="21" borderId="69" xfId="58" applyNumberFormat="1" applyFont="1" applyFill="1" applyBorder="1" applyAlignment="1">
      <alignment horizontal="right" vertical="center"/>
    </xf>
    <xf numFmtId="0" fontId="70" fillId="0" borderId="0" xfId="58" applyFont="1"/>
    <xf numFmtId="1" fontId="62" fillId="0" borderId="0" xfId="58" applyNumberFormat="1" applyFont="1"/>
    <xf numFmtId="4" fontId="62" fillId="0" borderId="0" xfId="58" applyNumberFormat="1" applyFont="1"/>
    <xf numFmtId="4" fontId="70" fillId="0" borderId="0" xfId="58" applyNumberFormat="1" applyFont="1"/>
    <xf numFmtId="167" fontId="74" fillId="0" borderId="0" xfId="58" applyNumberFormat="1" applyFont="1"/>
    <xf numFmtId="3" fontId="62" fillId="0" borderId="0" xfId="58" applyNumberFormat="1" applyFont="1"/>
    <xf numFmtId="0" fontId="62" fillId="47" borderId="69" xfId="58" applyFont="1" applyFill="1" applyBorder="1"/>
    <xf numFmtId="0" fontId="62" fillId="21" borderId="69" xfId="58" applyFont="1" applyFill="1" applyBorder="1"/>
    <xf numFmtId="0" fontId="61" fillId="6" borderId="69" xfId="58" applyFont="1" applyFill="1" applyBorder="1" applyAlignment="1">
      <alignment horizontal="center" vertical="center"/>
    </xf>
    <xf numFmtId="0" fontId="61" fillId="6" borderId="76" xfId="58" applyFont="1" applyFill="1" applyBorder="1" applyAlignment="1">
      <alignment horizontal="center" vertical="center"/>
    </xf>
    <xf numFmtId="166" fontId="64" fillId="37" borderId="69" xfId="59" applyNumberFormat="1" applyFont="1" applyFill="1" applyBorder="1"/>
    <xf numFmtId="0" fontId="62" fillId="26" borderId="0" xfId="58" applyFont="1" applyFill="1"/>
    <xf numFmtId="0" fontId="62" fillId="0" borderId="69" xfId="58" applyFont="1" applyBorder="1" applyAlignment="1">
      <alignment horizontal="left"/>
    </xf>
    <xf numFmtId="166" fontId="63" fillId="0" borderId="0" xfId="59" applyNumberFormat="1" applyFont="1" applyFill="1" applyBorder="1"/>
    <xf numFmtId="166" fontId="64" fillId="37" borderId="69" xfId="59" applyNumberFormat="1" applyFont="1" applyFill="1" applyBorder="1" applyAlignment="1">
      <alignment horizontal="center" vertical="center"/>
    </xf>
    <xf numFmtId="0" fontId="61" fillId="58" borderId="0" xfId="0" applyFont="1" applyFill="1"/>
    <xf numFmtId="0" fontId="70" fillId="16" borderId="0" xfId="44" applyFont="1" applyFill="1" applyAlignment="1">
      <alignment horizontal="center" vertical="center"/>
    </xf>
    <xf numFmtId="0" fontId="70" fillId="0" borderId="0" xfId="44" applyFont="1" applyAlignment="1">
      <alignment horizontal="center" vertical="center"/>
    </xf>
    <xf numFmtId="0" fontId="70" fillId="0" borderId="0" xfId="44" applyFont="1" applyAlignment="1">
      <alignment vertical="center"/>
    </xf>
    <xf numFmtId="0" fontId="63" fillId="10" borderId="0" xfId="3" applyFont="1" applyFill="1" applyAlignment="1">
      <alignment horizontal="center" vertical="center"/>
    </xf>
    <xf numFmtId="0" fontId="64" fillId="10" borderId="0" xfId="3" applyFont="1" applyFill="1" applyAlignment="1">
      <alignment horizontal="left" vertical="center"/>
    </xf>
    <xf numFmtId="0" fontId="73" fillId="10" borderId="0" xfId="3" applyFont="1" applyFill="1" applyAlignment="1">
      <alignment horizontal="center" vertical="center"/>
    </xf>
    <xf numFmtId="0" fontId="64" fillId="10" borderId="0" xfId="3" applyFont="1" applyFill="1" applyAlignment="1">
      <alignment horizontal="center" vertical="center"/>
    </xf>
    <xf numFmtId="0" fontId="61" fillId="10" borderId="0" xfId="17" applyFont="1" applyFill="1" applyAlignment="1">
      <alignment wrapText="1"/>
    </xf>
    <xf numFmtId="0" fontId="62" fillId="10" borderId="0" xfId="17" applyFont="1" applyFill="1" applyAlignment="1">
      <alignment horizontal="center" vertical="center" wrapText="1"/>
    </xf>
    <xf numFmtId="3" fontId="62" fillId="10" borderId="0" xfId="17" applyNumberFormat="1" applyFont="1" applyFill="1" applyAlignment="1">
      <alignment wrapText="1"/>
    </xf>
    <xf numFmtId="10" fontId="62" fillId="10" borderId="0" xfId="16" applyNumberFormat="1" applyFont="1" applyFill="1" applyAlignment="1">
      <alignment vertical="center" wrapText="1"/>
    </xf>
    <xf numFmtId="10" fontId="62" fillId="10" borderId="0" xfId="7" applyNumberFormat="1" applyFont="1" applyFill="1" applyAlignment="1">
      <alignment wrapText="1"/>
    </xf>
    <xf numFmtId="0" fontId="63" fillId="10" borderId="0" xfId="17" applyFont="1" applyFill="1" applyAlignment="1">
      <alignment horizontal="center" vertical="center" wrapText="1"/>
    </xf>
    <xf numFmtId="0" fontId="63" fillId="10" borderId="0" xfId="17" applyFont="1" applyFill="1" applyAlignment="1">
      <alignment horizontal="left" vertical="top" wrapText="1"/>
    </xf>
    <xf numFmtId="3" fontId="66" fillId="0" borderId="0" xfId="1" applyNumberFormat="1" applyFont="1" applyFill="1" applyBorder="1"/>
    <xf numFmtId="168" fontId="63" fillId="0" borderId="0" xfId="0" applyNumberFormat="1" applyFont="1" applyAlignment="1">
      <alignment horizontal="center" vertical="center"/>
    </xf>
    <xf numFmtId="0" fontId="63" fillId="0" borderId="0" xfId="0" applyFont="1" applyAlignment="1">
      <alignment horizontal="right" vertical="center"/>
    </xf>
    <xf numFmtId="0" fontId="64" fillId="20" borderId="0" xfId="0" applyFont="1" applyFill="1" applyAlignment="1">
      <alignment horizontal="center" vertical="center"/>
    </xf>
    <xf numFmtId="2" fontId="63" fillId="0" borderId="119" xfId="0" applyNumberFormat="1" applyFont="1" applyBorder="1" applyAlignment="1">
      <alignment horizontal="right" vertical="center"/>
    </xf>
    <xf numFmtId="4" fontId="63" fillId="24" borderId="137" xfId="0" applyNumberFormat="1" applyFont="1" applyFill="1" applyBorder="1" applyAlignment="1">
      <alignment wrapText="1"/>
    </xf>
    <xf numFmtId="0" fontId="63" fillId="0" borderId="14" xfId="0" applyFont="1" applyBorder="1" applyAlignment="1">
      <alignment vertical="center"/>
    </xf>
    <xf numFmtId="0" fontId="63" fillId="0" borderId="176" xfId="0" applyFont="1" applyBorder="1" applyAlignment="1">
      <alignment wrapText="1"/>
    </xf>
    <xf numFmtId="0" fontId="64" fillId="30" borderId="48" xfId="0" applyFont="1" applyFill="1" applyBorder="1"/>
    <xf numFmtId="0" fontId="63" fillId="0" borderId="18" xfId="0" applyFont="1" applyBorder="1" applyAlignment="1">
      <alignment wrapText="1"/>
    </xf>
    <xf numFmtId="0" fontId="63" fillId="0" borderId="48" xfId="0" applyFont="1" applyBorder="1" applyAlignment="1">
      <alignment horizontal="center" wrapText="1"/>
    </xf>
    <xf numFmtId="0" fontId="69" fillId="0" borderId="0" xfId="0" applyFont="1" applyAlignment="1">
      <alignment wrapText="1"/>
    </xf>
    <xf numFmtId="0" fontId="47" fillId="0" borderId="21" xfId="0" applyFont="1" applyBorder="1" applyAlignment="1">
      <alignment horizontal="center" vertical="center" wrapText="1"/>
    </xf>
    <xf numFmtId="0" fontId="47" fillId="30" borderId="137" xfId="0" applyFont="1" applyFill="1" applyBorder="1"/>
    <xf numFmtId="0" fontId="45" fillId="30" borderId="21" xfId="0" applyFont="1" applyFill="1" applyBorder="1" applyAlignment="1">
      <alignment horizontal="center"/>
    </xf>
    <xf numFmtId="0" fontId="63" fillId="30" borderId="137" xfId="0" applyFont="1" applyFill="1" applyBorder="1"/>
    <xf numFmtId="0" fontId="63" fillId="24" borderId="137" xfId="0" applyFont="1" applyFill="1" applyBorder="1" applyAlignment="1">
      <alignment horizontal="center" wrapText="1"/>
    </xf>
    <xf numFmtId="0" fontId="14" fillId="0" borderId="0" xfId="3"/>
    <xf numFmtId="0" fontId="47" fillId="0" borderId="137" xfId="3" applyFont="1" applyBorder="1" applyAlignment="1">
      <alignment horizontal="center" vertical="center" wrapText="1"/>
    </xf>
    <xf numFmtId="0" fontId="45" fillId="0" borderId="65" xfId="3" applyFont="1" applyBorder="1" applyAlignment="1">
      <alignment horizontal="center" wrapText="1"/>
    </xf>
    <xf numFmtId="0" fontId="47" fillId="0" borderId="137" xfId="3" applyFont="1" applyBorder="1" applyAlignment="1">
      <alignment wrapText="1"/>
    </xf>
    <xf numFmtId="0" fontId="47" fillId="30" borderId="137" xfId="3" applyFont="1" applyFill="1" applyBorder="1"/>
    <xf numFmtId="0" fontId="47" fillId="0" borderId="23" xfId="3" applyFont="1" applyBorder="1" applyAlignment="1">
      <alignment horizontal="center" vertical="top" wrapText="1"/>
    </xf>
    <xf numFmtId="0" fontId="47" fillId="24" borderId="137" xfId="3" applyFont="1" applyFill="1" applyBorder="1" applyAlignment="1">
      <alignment horizontal="center" wrapText="1"/>
    </xf>
    <xf numFmtId="0" fontId="63" fillId="0" borderId="137" xfId="3" applyFont="1" applyBorder="1" applyAlignment="1">
      <alignment horizontal="center" vertical="center" wrapText="1"/>
    </xf>
    <xf numFmtId="0" fontId="63" fillId="0" borderId="137" xfId="3" applyFont="1" applyBorder="1" applyAlignment="1">
      <alignment vertical="center" wrapText="1"/>
    </xf>
    <xf numFmtId="0" fontId="63" fillId="30" borderId="137" xfId="3" applyFont="1" applyFill="1" applyBorder="1" applyAlignment="1">
      <alignment vertical="center" wrapText="1"/>
    </xf>
    <xf numFmtId="0" fontId="63" fillId="30" borderId="23" xfId="3" applyFont="1" applyFill="1" applyBorder="1" applyAlignment="1">
      <alignment horizontal="center" wrapText="1"/>
    </xf>
    <xf numFmtId="0" fontId="63" fillId="24" borderId="137" xfId="0" applyFont="1" applyFill="1" applyBorder="1" applyAlignment="1">
      <alignment wrapText="1"/>
    </xf>
    <xf numFmtId="0" fontId="67" fillId="0" borderId="0" xfId="0" applyFont="1" applyAlignment="1">
      <alignment horizontal="center" wrapText="1"/>
    </xf>
    <xf numFmtId="0" fontId="62" fillId="10" borderId="69" xfId="17" applyFont="1" applyFill="1" applyBorder="1" applyAlignment="1">
      <alignment horizontal="center" vertical="center" wrapText="1"/>
    </xf>
    <xf numFmtId="0" fontId="70" fillId="10" borderId="69" xfId="17" applyFont="1" applyFill="1" applyBorder="1" applyAlignment="1">
      <alignment horizontal="center" wrapText="1"/>
    </xf>
    <xf numFmtId="0" fontId="70" fillId="10" borderId="69" xfId="17" applyFont="1" applyFill="1" applyBorder="1" applyAlignment="1">
      <alignment horizontal="center" vertical="center" wrapText="1"/>
    </xf>
    <xf numFmtId="0" fontId="47" fillId="0" borderId="21" xfId="3" applyFont="1" applyBorder="1" applyAlignment="1">
      <alignment horizontal="left" wrapText="1"/>
    </xf>
    <xf numFmtId="0" fontId="62" fillId="10" borderId="0" xfId="51" applyFont="1" applyFill="1" applyAlignment="1">
      <alignment wrapText="1"/>
    </xf>
    <xf numFmtId="3" fontId="63" fillId="30" borderId="137" xfId="3" applyNumberFormat="1" applyFont="1" applyFill="1" applyBorder="1" applyAlignment="1">
      <alignment horizontal="center" wrapText="1"/>
    </xf>
    <xf numFmtId="0" fontId="64" fillId="0" borderId="73" xfId="0" applyFont="1" applyBorder="1" applyAlignment="1">
      <alignment horizontal="center" wrapText="1"/>
    </xf>
    <xf numFmtId="166" fontId="63" fillId="24" borderId="137" xfId="1" applyNumberFormat="1" applyFont="1" applyFill="1" applyBorder="1" applyAlignment="1">
      <alignment horizontal="center" wrapText="1"/>
    </xf>
    <xf numFmtId="43" fontId="47" fillId="0" borderId="137" xfId="0" applyNumberFormat="1" applyFont="1" applyBorder="1" applyAlignment="1">
      <alignment horizontal="right" wrapText="1"/>
    </xf>
    <xf numFmtId="43" fontId="63" fillId="24" borderId="137" xfId="1" applyFont="1" applyFill="1" applyBorder="1" applyAlignment="1">
      <alignment wrapText="1"/>
    </xf>
    <xf numFmtId="43" fontId="64" fillId="0" borderId="0" xfId="1" applyFont="1" applyAlignment="1">
      <alignment horizontal="center"/>
    </xf>
    <xf numFmtId="43" fontId="64" fillId="0" borderId="0" xfId="1" applyFont="1"/>
    <xf numFmtId="4" fontId="68" fillId="0" borderId="0" xfId="0" applyNumberFormat="1" applyFont="1" applyAlignment="1">
      <alignment vertical="center"/>
    </xf>
    <xf numFmtId="3" fontId="63" fillId="0" borderId="0" xfId="0" applyNumberFormat="1" applyFont="1" applyAlignment="1">
      <alignment horizontal="center" wrapText="1"/>
    </xf>
    <xf numFmtId="4" fontId="14" fillId="24" borderId="69" xfId="0" applyNumberFormat="1" applyFont="1" applyFill="1" applyBorder="1"/>
    <xf numFmtId="181" fontId="14" fillId="24" borderId="69" xfId="0" applyNumberFormat="1" applyFont="1" applyFill="1" applyBorder="1" applyAlignment="1">
      <alignment shrinkToFit="1"/>
    </xf>
    <xf numFmtId="165" fontId="63" fillId="0" borderId="21" xfId="0" applyNumberFormat="1" applyFont="1" applyBorder="1"/>
    <xf numFmtId="0" fontId="63" fillId="54" borderId="78" xfId="0" applyFont="1" applyFill="1" applyBorder="1" applyAlignment="1">
      <alignment horizontal="center" vertical="top" wrapText="1"/>
    </xf>
    <xf numFmtId="0" fontId="63" fillId="54" borderId="78" xfId="0" applyFont="1" applyFill="1" applyBorder="1" applyAlignment="1">
      <alignment horizontal="center" wrapText="1"/>
    </xf>
    <xf numFmtId="0" fontId="64" fillId="54" borderId="78" xfId="0" applyFont="1" applyFill="1" applyBorder="1" applyAlignment="1">
      <alignment horizontal="center"/>
    </xf>
    <xf numFmtId="0" fontId="64" fillId="54" borderId="65" xfId="0" applyFont="1" applyFill="1" applyBorder="1" applyAlignment="1">
      <alignment horizontal="center"/>
    </xf>
    <xf numFmtId="2" fontId="63" fillId="54" borderId="78" xfId="0" applyNumberFormat="1" applyFont="1" applyFill="1" applyBorder="1" applyAlignment="1">
      <alignment horizontal="right" wrapText="1"/>
    </xf>
    <xf numFmtId="0" fontId="64" fillId="54" borderId="3" xfId="0" applyFont="1" applyFill="1" applyBorder="1" applyAlignment="1">
      <alignment horizontal="center" vertical="center" wrapText="1"/>
    </xf>
    <xf numFmtId="0" fontId="64" fillId="54" borderId="78" xfId="0" applyFont="1" applyFill="1" applyBorder="1" applyAlignment="1">
      <alignment horizontal="center" vertical="center" wrapText="1"/>
    </xf>
    <xf numFmtId="0" fontId="64" fillId="54" borderId="65" xfId="0" applyFont="1" applyFill="1" applyBorder="1" applyAlignment="1">
      <alignment horizontal="center" wrapText="1"/>
    </xf>
    <xf numFmtId="4" fontId="47" fillId="54" borderId="137" xfId="0" applyNumberFormat="1" applyFont="1" applyFill="1" applyBorder="1" applyAlignment="1">
      <alignment wrapText="1"/>
    </xf>
    <xf numFmtId="0" fontId="63" fillId="54" borderId="3" xfId="0" applyFont="1" applyFill="1" applyBorder="1" applyAlignment="1">
      <alignment horizontal="center" vertical="top" wrapText="1"/>
    </xf>
    <xf numFmtId="0" fontId="63" fillId="54" borderId="23" xfId="0" applyFont="1" applyFill="1" applyBorder="1" applyAlignment="1">
      <alignment horizontal="center" vertical="center" wrapText="1"/>
    </xf>
    <xf numFmtId="0" fontId="63" fillId="54" borderId="78" xfId="0" applyFont="1" applyFill="1" applyBorder="1" applyAlignment="1">
      <alignment horizontal="right" wrapText="1"/>
    </xf>
    <xf numFmtId="0" fontId="63" fillId="54" borderId="78" xfId="0" applyFont="1" applyFill="1" applyBorder="1" applyAlignment="1">
      <alignment horizontal="center" vertical="center" wrapText="1"/>
    </xf>
    <xf numFmtId="0" fontId="63" fillId="54" borderId="78" xfId="0" applyFont="1" applyFill="1" applyBorder="1" applyAlignment="1">
      <alignment horizontal="right"/>
    </xf>
    <xf numFmtId="3" fontId="125" fillId="24" borderId="0" xfId="0" applyNumberFormat="1" applyFont="1" applyFill="1" applyAlignment="1">
      <alignment horizontal="center"/>
    </xf>
    <xf numFmtId="0" fontId="73" fillId="24" borderId="69" xfId="51" applyFont="1" applyFill="1" applyBorder="1" applyAlignment="1" applyProtection="1">
      <alignment horizontal="center"/>
      <protection locked="0"/>
    </xf>
    <xf numFmtId="43" fontId="47" fillId="24" borderId="137" xfId="1" applyFont="1" applyFill="1" applyBorder="1" applyAlignment="1">
      <alignment horizontal="center" wrapText="1"/>
    </xf>
    <xf numFmtId="0" fontId="63" fillId="0" borderId="70" xfId="0" applyFont="1" applyBorder="1" applyAlignment="1">
      <alignment vertical="center"/>
    </xf>
    <xf numFmtId="17" fontId="63" fillId="0" borderId="17" xfId="0" quotePrefix="1" applyNumberFormat="1" applyFont="1" applyBorder="1" applyAlignment="1">
      <alignment horizontal="center" vertical="center"/>
    </xf>
    <xf numFmtId="0" fontId="63" fillId="24" borderId="119" xfId="0" applyFont="1" applyFill="1" applyBorder="1" applyAlignment="1">
      <alignment vertical="center" wrapText="1"/>
    </xf>
    <xf numFmtId="170" fontId="63" fillId="24" borderId="119" xfId="0" applyNumberFormat="1" applyFont="1" applyFill="1" applyBorder="1" applyAlignment="1">
      <alignment vertical="center"/>
    </xf>
    <xf numFmtId="182" fontId="63" fillId="0" borderId="69" xfId="1" applyNumberFormat="1" applyFont="1" applyBorder="1" applyAlignment="1">
      <alignment horizontal="right" vertical="center"/>
    </xf>
    <xf numFmtId="0" fontId="126" fillId="0" borderId="69" xfId="0" applyFont="1" applyBorder="1" applyAlignment="1">
      <alignment vertical="center"/>
    </xf>
    <xf numFmtId="0" fontId="63" fillId="0" borderId="69" xfId="0" applyFont="1" applyBorder="1" applyAlignment="1">
      <alignment horizontal="center" vertical="center"/>
    </xf>
    <xf numFmtId="0" fontId="63" fillId="0" borderId="69" xfId="0" applyFont="1" applyBorder="1" applyAlignment="1">
      <alignment horizontal="right" vertical="center"/>
    </xf>
    <xf numFmtId="0" fontId="63" fillId="0" borderId="119" xfId="0" applyFont="1" applyBorder="1" applyAlignment="1">
      <alignment horizontal="center" vertical="center"/>
    </xf>
    <xf numFmtId="0" fontId="63" fillId="0" borderId="17" xfId="0" applyFont="1" applyBorder="1" applyAlignment="1">
      <alignment horizontal="right" vertical="center"/>
    </xf>
    <xf numFmtId="2" fontId="63" fillId="0" borderId="17" xfId="0" applyNumberFormat="1" applyFont="1" applyBorder="1" applyAlignment="1">
      <alignment horizontal="right" vertical="center"/>
    </xf>
    <xf numFmtId="0" fontId="63" fillId="0" borderId="119" xfId="0" quotePrefix="1" applyFont="1" applyBorder="1" applyAlignment="1">
      <alignment horizontal="right" vertical="center"/>
    </xf>
    <xf numFmtId="0" fontId="63" fillId="0" borderId="69" xfId="0" quotePrefix="1" applyFont="1" applyBorder="1" applyAlignment="1">
      <alignment horizontal="right" vertical="center"/>
    </xf>
    <xf numFmtId="0" fontId="63" fillId="0" borderId="123" xfId="0" applyFont="1" applyBorder="1" applyAlignment="1">
      <alignment horizontal="right" vertical="center"/>
    </xf>
    <xf numFmtId="0" fontId="63" fillId="0" borderId="60" xfId="0" quotePrefix="1" applyFont="1" applyBorder="1" applyAlignment="1">
      <alignment horizontal="right" vertical="center"/>
    </xf>
    <xf numFmtId="0" fontId="63" fillId="60" borderId="119" xfId="0" applyFont="1" applyFill="1" applyBorder="1" applyAlignment="1">
      <alignment horizontal="center" vertical="center"/>
    </xf>
    <xf numFmtId="0" fontId="62" fillId="0" borderId="119" xfId="0" applyFont="1" applyBorder="1" applyAlignment="1">
      <alignment horizontal="right" vertical="center"/>
    </xf>
    <xf numFmtId="0" fontId="128" fillId="0" borderId="69" xfId="0" applyFont="1" applyBorder="1" applyAlignment="1">
      <alignment horizontal="center" vertical="center"/>
    </xf>
    <xf numFmtId="0" fontId="128" fillId="0" borderId="70" xfId="0" applyFont="1" applyBorder="1" applyAlignment="1">
      <alignment vertical="center"/>
    </xf>
    <xf numFmtId="0" fontId="128" fillId="0" borderId="69" xfId="0" applyFont="1" applyBorder="1" applyAlignment="1">
      <alignment horizontal="center" vertical="center" wrapText="1"/>
    </xf>
    <xf numFmtId="0" fontId="131" fillId="0" borderId="69" xfId="0" applyFont="1" applyBorder="1"/>
    <xf numFmtId="176" fontId="128" fillId="0" borderId="69" xfId="0" applyNumberFormat="1" applyFont="1" applyBorder="1" applyAlignment="1">
      <alignment vertical="center"/>
    </xf>
    <xf numFmtId="0" fontId="128" fillId="24" borderId="69" xfId="0" applyFont="1" applyFill="1" applyBorder="1" applyAlignment="1">
      <alignment horizontal="center" vertical="center"/>
    </xf>
    <xf numFmtId="178" fontId="128" fillId="0" borderId="69" xfId="0" applyNumberFormat="1" applyFont="1" applyBorder="1" applyAlignment="1">
      <alignment vertical="center"/>
    </xf>
    <xf numFmtId="169" fontId="131" fillId="0" borderId="69" xfId="0" applyNumberFormat="1" applyFont="1" applyBorder="1"/>
    <xf numFmtId="0" fontId="131" fillId="24" borderId="69" xfId="0" applyFont="1" applyFill="1" applyBorder="1"/>
    <xf numFmtId="176" fontId="63" fillId="0" borderId="0" xfId="0" applyNumberFormat="1" applyFont="1" applyAlignment="1">
      <alignment vertical="center"/>
    </xf>
    <xf numFmtId="178" fontId="63" fillId="0" borderId="0" xfId="0" applyNumberFormat="1" applyFont="1" applyAlignment="1">
      <alignment vertical="center"/>
    </xf>
    <xf numFmtId="43" fontId="63" fillId="0" borderId="137" xfId="1" applyFont="1" applyFill="1" applyBorder="1" applyAlignment="1">
      <alignment horizontal="right" wrapText="1"/>
    </xf>
    <xf numFmtId="2" fontId="73" fillId="24" borderId="69" xfId="44" applyNumberFormat="1" applyFont="1" applyFill="1" applyBorder="1" applyProtection="1">
      <protection locked="0"/>
    </xf>
    <xf numFmtId="0" fontId="128" fillId="0" borderId="60" xfId="0" applyFont="1" applyBorder="1" applyAlignment="1">
      <alignment horizontal="center" vertical="center"/>
    </xf>
    <xf numFmtId="0" fontId="128" fillId="0" borderId="60" xfId="0" applyFont="1" applyBorder="1" applyAlignment="1">
      <alignment horizontal="center" vertical="center" wrapText="1"/>
    </xf>
    <xf numFmtId="0" fontId="128" fillId="0" borderId="17" xfId="0" applyFont="1" applyBorder="1" applyAlignment="1">
      <alignment horizontal="center" vertical="center" wrapText="1"/>
    </xf>
    <xf numFmtId="0" fontId="128" fillId="0" borderId="17" xfId="0" applyFont="1" applyBorder="1" applyAlignment="1">
      <alignment horizontal="center" vertical="top" wrapText="1"/>
    </xf>
    <xf numFmtId="0" fontId="66" fillId="0" borderId="0" xfId="0" applyFont="1"/>
    <xf numFmtId="0" fontId="63" fillId="0" borderId="0" xfId="0" applyFont="1" applyAlignment="1">
      <alignment horizontal="left" vertical="center" wrapText="1"/>
    </xf>
    <xf numFmtId="0" fontId="64" fillId="25" borderId="0" xfId="24" applyFont="1" applyFill="1"/>
    <xf numFmtId="0" fontId="63" fillId="6" borderId="0" xfId="0" applyFont="1" applyFill="1"/>
    <xf numFmtId="0" fontId="64" fillId="25" borderId="0" xfId="24" applyFont="1" applyFill="1" applyAlignment="1">
      <alignment horizontal="center" vertical="center"/>
    </xf>
    <xf numFmtId="0" fontId="63" fillId="6" borderId="0" xfId="0" applyFont="1" applyFill="1" applyAlignment="1">
      <alignment horizontal="center" vertical="center"/>
    </xf>
    <xf numFmtId="0" fontId="70" fillId="9" borderId="69" xfId="49" applyFont="1" applyFill="1" applyBorder="1" applyAlignment="1">
      <alignment horizontal="center" wrapText="1"/>
    </xf>
    <xf numFmtId="0" fontId="70" fillId="9" borderId="69" xfId="49" applyFont="1" applyFill="1" applyBorder="1" applyAlignment="1">
      <alignment horizontal="center" vertical="center"/>
    </xf>
    <xf numFmtId="0" fontId="62" fillId="10" borderId="69" xfId="49" applyFont="1" applyFill="1" applyBorder="1" applyAlignment="1">
      <alignment vertical="top"/>
    </xf>
    <xf numFmtId="0" fontId="62" fillId="10" borderId="69" xfId="49" applyFont="1" applyFill="1" applyBorder="1" applyAlignment="1">
      <alignment horizontal="left" vertical="top" wrapText="1"/>
    </xf>
    <xf numFmtId="0" fontId="62" fillId="10" borderId="69" xfId="49" applyFont="1" applyFill="1" applyBorder="1" applyAlignment="1">
      <alignment horizontal="center" vertical="top"/>
    </xf>
    <xf numFmtId="0" fontId="62" fillId="10" borderId="69" xfId="49" applyFont="1" applyFill="1" applyBorder="1" applyAlignment="1">
      <alignment horizontal="left" vertical="top"/>
    </xf>
    <xf numFmtId="0" fontId="62" fillId="10" borderId="69" xfId="49" applyFont="1" applyFill="1" applyBorder="1" applyAlignment="1">
      <alignment vertical="top" wrapText="1"/>
    </xf>
    <xf numFmtId="0" fontId="70" fillId="9" borderId="69" xfId="49" applyFont="1" applyFill="1" applyBorder="1" applyAlignment="1">
      <alignment horizontal="center" vertical="center" wrapText="1"/>
    </xf>
    <xf numFmtId="3" fontId="63" fillId="10" borderId="69" xfId="20" applyNumberFormat="1" applyFont="1" applyFill="1" applyBorder="1" applyAlignment="1">
      <alignment horizontal="center" vertical="center"/>
    </xf>
    <xf numFmtId="0" fontId="61" fillId="0" borderId="0" xfId="17" applyFont="1" applyAlignment="1">
      <alignment horizontal="right" wrapText="1"/>
    </xf>
    <xf numFmtId="0" fontId="72" fillId="6" borderId="0" xfId="0" applyFont="1" applyFill="1" applyAlignment="1">
      <alignment horizontal="right"/>
    </xf>
    <xf numFmtId="3" fontId="61" fillId="6" borderId="0" xfId="17" applyNumberFormat="1" applyFont="1" applyFill="1" applyAlignment="1">
      <alignment horizontal="right" wrapText="1"/>
    </xf>
    <xf numFmtId="4" fontId="62" fillId="10" borderId="69" xfId="37" applyNumberFormat="1" applyFont="1" applyFill="1" applyBorder="1"/>
    <xf numFmtId="4" fontId="70" fillId="0" borderId="69" xfId="37" applyNumberFormat="1" applyFont="1" applyFill="1" applyBorder="1" applyAlignment="1">
      <alignment horizontal="right" vertical="center"/>
    </xf>
    <xf numFmtId="4" fontId="70" fillId="10" borderId="69" xfId="37" applyNumberFormat="1" applyFont="1" applyFill="1" applyBorder="1"/>
    <xf numFmtId="0" fontId="73" fillId="10" borderId="0" xfId="49" applyFont="1" applyFill="1"/>
    <xf numFmtId="0" fontId="73" fillId="0" borderId="119" xfId="0" applyFont="1" applyBorder="1" applyAlignment="1">
      <alignment vertical="center"/>
    </xf>
    <xf numFmtId="0" fontId="64" fillId="6" borderId="8" xfId="3" applyFont="1" applyFill="1" applyBorder="1" applyAlignment="1">
      <alignment vertical="top"/>
    </xf>
    <xf numFmtId="0" fontId="134" fillId="6" borderId="0" xfId="3" applyFont="1" applyFill="1" applyAlignment="1">
      <alignment vertical="top"/>
    </xf>
    <xf numFmtId="3" fontId="134" fillId="6" borderId="0" xfId="3" applyNumberFormat="1" applyFont="1" applyFill="1" applyAlignment="1">
      <alignment horizontal="right" vertical="center"/>
    </xf>
    <xf numFmtId="3" fontId="63" fillId="6" borderId="0" xfId="0" applyNumberFormat="1" applyFont="1" applyFill="1"/>
    <xf numFmtId="4" fontId="64" fillId="0" borderId="0" xfId="3" applyNumberFormat="1" applyFont="1" applyAlignment="1">
      <alignment horizontal="right" vertical="center"/>
    </xf>
    <xf numFmtId="0" fontId="14" fillId="0" borderId="0" xfId="0" applyFont="1"/>
    <xf numFmtId="0" fontId="135" fillId="61" borderId="0" xfId="0" applyFont="1" applyFill="1" applyAlignment="1">
      <alignment horizontal="center"/>
    </xf>
    <xf numFmtId="2" fontId="64" fillId="39" borderId="78" xfId="0" applyNumberFormat="1" applyFont="1" applyFill="1" applyBorder="1" applyAlignment="1">
      <alignment horizontal="right" wrapText="1"/>
    </xf>
    <xf numFmtId="2" fontId="64" fillId="15" borderId="78" xfId="0" applyNumberFormat="1" applyFont="1" applyFill="1" applyBorder="1" applyAlignment="1">
      <alignment horizontal="right" wrapText="1"/>
    </xf>
    <xf numFmtId="0" fontId="14" fillId="24" borderId="69" xfId="0" applyFont="1" applyFill="1" applyBorder="1" applyAlignment="1">
      <alignment vertical="center"/>
    </xf>
    <xf numFmtId="43" fontId="63" fillId="0" borderId="69" xfId="1" applyFont="1" applyFill="1" applyBorder="1"/>
    <xf numFmtId="2" fontId="64" fillId="15" borderId="11" xfId="0" applyNumberFormat="1" applyFont="1" applyFill="1" applyBorder="1" applyAlignment="1">
      <alignment wrapText="1"/>
    </xf>
    <xf numFmtId="4" fontId="64" fillId="39" borderId="23" xfId="0" applyNumberFormat="1" applyFont="1" applyFill="1" applyBorder="1" applyAlignment="1">
      <alignment horizontal="right" wrapText="1"/>
    </xf>
    <xf numFmtId="165" fontId="63" fillId="0" borderId="69" xfId="0" applyNumberFormat="1" applyFont="1" applyBorder="1" applyAlignment="1">
      <alignment horizontal="left"/>
    </xf>
    <xf numFmtId="4" fontId="64" fillId="39" borderId="78" xfId="0" applyNumberFormat="1" applyFont="1" applyFill="1" applyBorder="1" applyAlignment="1">
      <alignment wrapText="1"/>
    </xf>
    <xf numFmtId="2" fontId="64" fillId="39" borderId="11" xfId="0" applyNumberFormat="1" applyFont="1" applyFill="1" applyBorder="1"/>
    <xf numFmtId="165" fontId="63" fillId="24" borderId="69" xfId="0" applyNumberFormat="1" applyFont="1" applyFill="1" applyBorder="1"/>
    <xf numFmtId="43" fontId="73" fillId="0" borderId="69" xfId="1" applyFont="1" applyFill="1" applyBorder="1"/>
    <xf numFmtId="0" fontId="64" fillId="0" borderId="3" xfId="0" applyFont="1" applyBorder="1" applyAlignment="1">
      <alignment horizontal="center"/>
    </xf>
    <xf numFmtId="0" fontId="63" fillId="29" borderId="23" xfId="0" applyFont="1" applyFill="1" applyBorder="1" applyAlignment="1">
      <alignment wrapText="1"/>
    </xf>
    <xf numFmtId="171" fontId="63" fillId="29" borderId="23" xfId="0" applyNumberFormat="1" applyFont="1" applyFill="1" applyBorder="1" applyAlignment="1">
      <alignment horizontal="right" wrapText="1"/>
    </xf>
    <xf numFmtId="0" fontId="64" fillId="0" borderId="3" xfId="0" applyFont="1" applyBorder="1" applyAlignment="1">
      <alignment horizontal="center" vertical="center"/>
    </xf>
    <xf numFmtId="0" fontId="64" fillId="39" borderId="78" xfId="0" applyFont="1" applyFill="1" applyBorder="1"/>
    <xf numFmtId="0" fontId="64" fillId="29" borderId="22" xfId="0" applyFont="1" applyFill="1" applyBorder="1" applyAlignment="1">
      <alignment horizontal="center" wrapText="1"/>
    </xf>
    <xf numFmtId="2" fontId="64" fillId="29" borderId="23" xfId="0" applyNumberFormat="1" applyFont="1" applyFill="1" applyBorder="1" applyAlignment="1">
      <alignment horizontal="right" wrapText="1"/>
    </xf>
    <xf numFmtId="0" fontId="64" fillId="29" borderId="22" xfId="0" applyFont="1" applyFill="1" applyBorder="1" applyAlignment="1">
      <alignment wrapText="1"/>
    </xf>
    <xf numFmtId="0" fontId="64" fillId="29" borderId="23" xfId="0" applyFont="1" applyFill="1" applyBorder="1" applyAlignment="1">
      <alignment horizontal="right" wrapText="1"/>
    </xf>
    <xf numFmtId="0" fontId="63" fillId="0" borderId="137" xfId="0" applyFont="1" applyBorder="1" applyAlignment="1">
      <alignment horizontal="left" wrapText="1"/>
    </xf>
    <xf numFmtId="2" fontId="63" fillId="0" borderId="137" xfId="0" applyNumberFormat="1" applyFont="1" applyBorder="1" applyAlignment="1">
      <alignment wrapText="1"/>
    </xf>
    <xf numFmtId="2" fontId="64" fillId="15" borderId="137" xfId="0" applyNumberFormat="1" applyFont="1" applyFill="1" applyBorder="1" applyAlignment="1">
      <alignment wrapText="1"/>
    </xf>
    <xf numFmtId="0" fontId="63" fillId="15" borderId="137" xfId="0" applyFont="1" applyFill="1" applyBorder="1" applyAlignment="1">
      <alignment wrapText="1"/>
    </xf>
    <xf numFmtId="0" fontId="73" fillId="15" borderId="137" xfId="0" applyFont="1" applyFill="1" applyBorder="1" applyAlignment="1">
      <alignment horizontal="right" wrapText="1"/>
    </xf>
    <xf numFmtId="0" fontId="63" fillId="15" borderId="137" xfId="0" applyFont="1" applyFill="1" applyBorder="1" applyAlignment="1">
      <alignment horizontal="right" wrapText="1"/>
    </xf>
    <xf numFmtId="167" fontId="63" fillId="0" borderId="137" xfId="0" applyNumberFormat="1" applyFont="1" applyBorder="1" applyAlignment="1">
      <alignment wrapText="1"/>
    </xf>
    <xf numFmtId="0" fontId="63" fillId="0" borderId="137" xfId="0" applyFont="1" applyBorder="1" applyAlignment="1">
      <alignment horizontal="left"/>
    </xf>
    <xf numFmtId="2" fontId="64" fillId="39" borderId="78" xfId="0" applyNumberFormat="1" applyFont="1" applyFill="1" applyBorder="1"/>
    <xf numFmtId="0" fontId="64" fillId="39" borderId="78" xfId="0" applyFont="1" applyFill="1" applyBorder="1" applyAlignment="1">
      <alignment horizontal="right" wrapText="1"/>
    </xf>
    <xf numFmtId="4" fontId="63" fillId="29" borderId="23" xfId="0" applyNumberFormat="1" applyFont="1" applyFill="1" applyBorder="1" applyAlignment="1">
      <alignment horizontal="right" wrapText="1"/>
    </xf>
    <xf numFmtId="0" fontId="136" fillId="0" borderId="0" xfId="54" applyFont="1"/>
    <xf numFmtId="43" fontId="62" fillId="0" borderId="74" xfId="52" applyFont="1" applyFill="1" applyBorder="1" applyAlignment="1">
      <alignment horizontal="center" vertical="center"/>
    </xf>
    <xf numFmtId="43" fontId="62" fillId="10" borderId="69" xfId="51" applyNumberFormat="1" applyFont="1" applyFill="1" applyBorder="1"/>
    <xf numFmtId="0" fontId="64" fillId="30" borderId="69" xfId="0" applyFont="1" applyFill="1" applyBorder="1" applyAlignment="1">
      <alignment horizontal="center" vertical="center" wrapText="1"/>
    </xf>
    <xf numFmtId="0" fontId="64" fillId="26" borderId="108" xfId="0" applyFont="1" applyFill="1" applyBorder="1" applyAlignment="1">
      <alignment horizontal="center" vertical="center"/>
    </xf>
    <xf numFmtId="0" fontId="64" fillId="29" borderId="108" xfId="0" applyFont="1" applyFill="1" applyBorder="1" applyAlignment="1">
      <alignment horizontal="center" vertical="center"/>
    </xf>
    <xf numFmtId="0" fontId="64" fillId="16" borderId="108" xfId="0" applyFont="1" applyFill="1" applyBorder="1" applyAlignment="1">
      <alignment horizontal="center" vertical="center"/>
    </xf>
    <xf numFmtId="0" fontId="64" fillId="16" borderId="69" xfId="0" applyFont="1" applyFill="1" applyBorder="1" applyAlignment="1">
      <alignment horizontal="center" vertical="center"/>
    </xf>
    <xf numFmtId="0" fontId="63" fillId="59" borderId="69" xfId="0" applyFont="1" applyFill="1" applyBorder="1" applyAlignment="1">
      <alignment horizontal="center" vertical="center"/>
    </xf>
    <xf numFmtId="3" fontId="64" fillId="0" borderId="101" xfId="0" applyNumberFormat="1" applyFont="1" applyBorder="1" applyAlignment="1">
      <alignment horizontal="center" vertical="center"/>
    </xf>
    <xf numFmtId="3" fontId="64" fillId="39" borderId="101" xfId="0" applyNumberFormat="1" applyFont="1" applyFill="1" applyBorder="1" applyAlignment="1">
      <alignment horizontal="center" vertical="center"/>
    </xf>
    <xf numFmtId="4" fontId="72" fillId="6" borderId="0" xfId="0" applyNumberFormat="1" applyFont="1" applyFill="1"/>
    <xf numFmtId="4" fontId="72" fillId="6" borderId="20" xfId="0" applyNumberFormat="1" applyFont="1" applyFill="1" applyBorder="1"/>
    <xf numFmtId="0" fontId="61" fillId="6" borderId="69" xfId="51" applyFont="1" applyFill="1" applyBorder="1" applyAlignment="1">
      <alignment horizontal="center" vertical="center"/>
    </xf>
    <xf numFmtId="0" fontId="61" fillId="6" borderId="74" xfId="51" applyFont="1" applyFill="1" applyBorder="1" applyAlignment="1">
      <alignment horizontal="center" vertical="center"/>
    </xf>
    <xf numFmtId="180" fontId="64" fillId="0" borderId="21" xfId="0" applyNumberFormat="1" applyFont="1" applyBorder="1"/>
    <xf numFmtId="0" fontId="61" fillId="63" borderId="0" xfId="24" applyFont="1" applyFill="1"/>
    <xf numFmtId="0" fontId="62" fillId="63" borderId="0" xfId="24" applyFont="1" applyFill="1"/>
    <xf numFmtId="0" fontId="61" fillId="62" borderId="0" xfId="44" applyFont="1" applyFill="1"/>
    <xf numFmtId="0" fontId="63" fillId="62" borderId="0" xfId="44" applyFont="1" applyFill="1"/>
    <xf numFmtId="0" fontId="61" fillId="63" borderId="0" xfId="44" applyFont="1" applyFill="1"/>
    <xf numFmtId="0" fontId="63" fillId="63" borderId="0" xfId="44" applyFont="1" applyFill="1"/>
    <xf numFmtId="2" fontId="63" fillId="0" borderId="189" xfId="0" applyNumberFormat="1" applyFont="1" applyBorder="1" applyAlignment="1">
      <alignment vertical="center"/>
    </xf>
    <xf numFmtId="4" fontId="68" fillId="0" borderId="70" xfId="0" applyNumberFormat="1" applyFont="1" applyBorder="1" applyAlignment="1">
      <alignment vertical="center"/>
    </xf>
    <xf numFmtId="0" fontId="64" fillId="64" borderId="15" xfId="0" applyFont="1" applyFill="1" applyBorder="1" applyAlignment="1">
      <alignment horizontal="center" vertical="center"/>
    </xf>
    <xf numFmtId="0" fontId="63" fillId="24" borderId="189" xfId="0" applyFont="1" applyFill="1" applyBorder="1" applyAlignment="1">
      <alignment horizontal="center" vertical="center"/>
    </xf>
    <xf numFmtId="0" fontId="64" fillId="30" borderId="194" xfId="0" applyFont="1" applyFill="1" applyBorder="1" applyAlignment="1">
      <alignment horizontal="center" wrapText="1"/>
    </xf>
    <xf numFmtId="0" fontId="64" fillId="29" borderId="22" xfId="0" applyFont="1" applyFill="1" applyBorder="1" applyAlignment="1">
      <alignment horizontal="left" wrapText="1"/>
    </xf>
    <xf numFmtId="0" fontId="63" fillId="9" borderId="194" xfId="0" applyFont="1" applyFill="1" applyBorder="1" applyAlignment="1">
      <alignment horizontal="left" wrapText="1"/>
    </xf>
    <xf numFmtId="0" fontId="64" fillId="29" borderId="22" xfId="0" applyFont="1" applyFill="1" applyBorder="1" applyAlignment="1">
      <alignment horizontal="left" vertical="center" wrapText="1"/>
    </xf>
    <xf numFmtId="0" fontId="63" fillId="0" borderId="193" xfId="0" applyFont="1" applyBorder="1" applyAlignment="1">
      <alignment horizontal="left" wrapText="1"/>
    </xf>
    <xf numFmtId="0" fontId="63" fillId="0" borderId="193" xfId="0" applyFont="1" applyBorder="1" applyAlignment="1">
      <alignment horizontal="left"/>
    </xf>
    <xf numFmtId="0" fontId="64" fillId="39" borderId="193" xfId="0" applyFont="1" applyFill="1" applyBorder="1" applyAlignment="1">
      <alignment horizontal="center"/>
    </xf>
    <xf numFmtId="0" fontId="64" fillId="29" borderId="193" xfId="0" applyFont="1" applyFill="1" applyBorder="1" applyAlignment="1">
      <alignment horizontal="left" vertical="center" wrapText="1"/>
    </xf>
    <xf numFmtId="0" fontId="64" fillId="29" borderId="163" xfId="0" applyFont="1" applyFill="1" applyBorder="1" applyAlignment="1">
      <alignment horizontal="left" vertical="center" wrapText="1"/>
    </xf>
    <xf numFmtId="0" fontId="63" fillId="9" borderId="19" xfId="0" applyFont="1" applyFill="1" applyBorder="1" applyAlignment="1">
      <alignment horizontal="left" wrapText="1"/>
    </xf>
    <xf numFmtId="3" fontId="63" fillId="0" borderId="62" xfId="0" applyNumberFormat="1" applyFont="1" applyBorder="1" applyAlignment="1">
      <alignment horizontal="center"/>
    </xf>
    <xf numFmtId="2" fontId="14" fillId="24" borderId="69" xfId="0" applyNumberFormat="1" applyFont="1" applyFill="1" applyBorder="1" applyAlignment="1">
      <alignment vertical="center"/>
    </xf>
    <xf numFmtId="4" fontId="63" fillId="24" borderId="3" xfId="0" applyNumberFormat="1" applyFont="1" applyFill="1" applyBorder="1" applyAlignment="1">
      <alignment wrapText="1"/>
    </xf>
    <xf numFmtId="0" fontId="63" fillId="0" borderId="164" xfId="0" applyFont="1" applyBorder="1" applyAlignment="1">
      <alignment horizontal="left" wrapText="1"/>
    </xf>
    <xf numFmtId="4" fontId="64" fillId="15" borderId="19" xfId="0" applyNumberFormat="1" applyFont="1" applyFill="1" applyBorder="1" applyAlignment="1">
      <alignment wrapText="1"/>
    </xf>
    <xf numFmtId="2" fontId="64" fillId="15" borderId="23" xfId="0" applyNumberFormat="1" applyFont="1" applyFill="1" applyBorder="1" applyAlignment="1">
      <alignment wrapText="1"/>
    </xf>
    <xf numFmtId="0" fontId="74" fillId="15" borderId="23" xfId="0" applyFont="1" applyFill="1" applyBorder="1" applyAlignment="1">
      <alignment horizontal="right" wrapText="1"/>
    </xf>
    <xf numFmtId="0" fontId="63" fillId="39" borderId="194" xfId="0" applyFont="1" applyFill="1" applyBorder="1"/>
    <xf numFmtId="4" fontId="64" fillId="39" borderId="19" xfId="0" applyNumberFormat="1" applyFont="1" applyFill="1" applyBorder="1"/>
    <xf numFmtId="0" fontId="64" fillId="29" borderId="22" xfId="0" applyFont="1" applyFill="1" applyBorder="1" applyAlignment="1">
      <alignment horizontal="right" wrapText="1"/>
    </xf>
    <xf numFmtId="0" fontId="64" fillId="29" borderId="163" xfId="0" applyFont="1" applyFill="1" applyBorder="1" applyAlignment="1">
      <alignment horizontal="left" wrapText="1"/>
    </xf>
    <xf numFmtId="0" fontId="64" fillId="0" borderId="3" xfId="0" applyFont="1" applyBorder="1" applyAlignment="1">
      <alignment horizontal="center" wrapText="1"/>
    </xf>
    <xf numFmtId="4" fontId="64" fillId="29" borderId="22" xfId="0" applyNumberFormat="1" applyFont="1" applyFill="1" applyBorder="1" applyAlignment="1">
      <alignment wrapText="1"/>
    </xf>
    <xf numFmtId="0" fontId="63" fillId="29" borderId="22" xfId="0" applyFont="1" applyFill="1" applyBorder="1" applyAlignment="1">
      <alignment wrapText="1"/>
    </xf>
    <xf numFmtId="4" fontId="64" fillId="15" borderId="3" xfId="0" applyNumberFormat="1" applyFont="1" applyFill="1" applyBorder="1" applyAlignment="1">
      <alignment wrapText="1"/>
    </xf>
    <xf numFmtId="0" fontId="64" fillId="15" borderId="3" xfId="0" applyFont="1" applyFill="1" applyBorder="1" applyAlignment="1">
      <alignment wrapText="1"/>
    </xf>
    <xf numFmtId="171" fontId="63" fillId="29" borderId="22" xfId="0" applyNumberFormat="1" applyFont="1" applyFill="1" applyBorder="1" applyAlignment="1">
      <alignment horizontal="right" wrapText="1"/>
    </xf>
    <xf numFmtId="4" fontId="64" fillId="15" borderId="3" xfId="0" applyNumberFormat="1" applyFont="1" applyFill="1" applyBorder="1" applyAlignment="1">
      <alignment horizontal="right" wrapText="1"/>
    </xf>
    <xf numFmtId="2" fontId="64" fillId="15" borderId="3" xfId="0" applyNumberFormat="1" applyFont="1" applyFill="1" applyBorder="1" applyAlignment="1">
      <alignment wrapText="1"/>
    </xf>
    <xf numFmtId="0" fontId="74" fillId="15" borderId="3" xfId="0" applyFont="1" applyFill="1" applyBorder="1" applyAlignment="1">
      <alignment horizontal="right" wrapText="1"/>
    </xf>
    <xf numFmtId="167" fontId="64" fillId="15" borderId="3" xfId="0" applyNumberFormat="1" applyFont="1" applyFill="1" applyBorder="1" applyAlignment="1">
      <alignment horizontal="right" wrapText="1"/>
    </xf>
    <xf numFmtId="0" fontId="64" fillId="29" borderId="105" xfId="0" applyFont="1" applyFill="1" applyBorder="1" applyAlignment="1">
      <alignment horizontal="left" vertical="center" wrapText="1"/>
    </xf>
    <xf numFmtId="4" fontId="64" fillId="29" borderId="193" xfId="0" applyNumberFormat="1" applyFont="1" applyFill="1" applyBorder="1" applyAlignment="1">
      <alignment wrapText="1"/>
    </xf>
    <xf numFmtId="0" fontId="63" fillId="29" borderId="193" xfId="0" applyFont="1" applyFill="1" applyBorder="1" applyAlignment="1">
      <alignment wrapText="1"/>
    </xf>
    <xf numFmtId="171" fontId="63" fillId="29" borderId="193" xfId="0" applyNumberFormat="1" applyFont="1" applyFill="1" applyBorder="1" applyAlignment="1">
      <alignment horizontal="right" wrapText="1"/>
    </xf>
    <xf numFmtId="171" fontId="63" fillId="29" borderId="194" xfId="0" applyNumberFormat="1" applyFont="1" applyFill="1" applyBorder="1" applyAlignment="1">
      <alignment horizontal="right" wrapText="1"/>
    </xf>
    <xf numFmtId="0" fontId="63" fillId="0" borderId="194" xfId="0" applyFont="1" applyBorder="1" applyAlignment="1">
      <alignment horizontal="center" vertical="center" wrapText="1"/>
    </xf>
    <xf numFmtId="0" fontId="63" fillId="0" borderId="194" xfId="0" applyFont="1" applyBorder="1" applyAlignment="1">
      <alignment horizontal="center" wrapText="1"/>
    </xf>
    <xf numFmtId="0" fontId="64" fillId="0" borderId="65" xfId="0" applyFont="1" applyBorder="1" applyAlignment="1">
      <alignment horizontal="center" vertical="center"/>
    </xf>
    <xf numFmtId="0" fontId="64" fillId="0" borderId="65" xfId="0" applyFont="1" applyBorder="1" applyAlignment="1">
      <alignment horizontal="center" vertical="center" wrapText="1"/>
    </xf>
    <xf numFmtId="4" fontId="64" fillId="15" borderId="188" xfId="0" applyNumberFormat="1" applyFont="1" applyFill="1" applyBorder="1" applyAlignment="1">
      <alignment wrapText="1"/>
    </xf>
    <xf numFmtId="0" fontId="64" fillId="15" borderId="188" xfId="0" applyFont="1" applyFill="1" applyBorder="1" applyAlignment="1">
      <alignment wrapText="1"/>
    </xf>
    <xf numFmtId="0" fontId="74" fillId="15" borderId="188" xfId="0" applyFont="1" applyFill="1" applyBorder="1" applyAlignment="1">
      <alignment horizontal="right" wrapText="1"/>
    </xf>
    <xf numFmtId="4" fontId="64" fillId="15" borderId="164" xfId="0" applyNumberFormat="1" applyFont="1" applyFill="1" applyBorder="1" applyAlignment="1">
      <alignment horizontal="right" wrapText="1"/>
    </xf>
    <xf numFmtId="4" fontId="63" fillId="29" borderId="22" xfId="0" applyNumberFormat="1" applyFont="1" applyFill="1" applyBorder="1" applyAlignment="1">
      <alignment horizontal="right" wrapText="1"/>
    </xf>
    <xf numFmtId="0" fontId="64" fillId="30" borderId="194" xfId="0" applyFont="1" applyFill="1" applyBorder="1" applyAlignment="1">
      <alignment horizontal="center"/>
    </xf>
    <xf numFmtId="2" fontId="64" fillId="39" borderId="78" xfId="0" applyNumberFormat="1" applyFont="1" applyFill="1" applyBorder="1" applyAlignment="1">
      <alignment wrapText="1"/>
    </xf>
    <xf numFmtId="0" fontId="64" fillId="30" borderId="193" xfId="0" applyFont="1" applyFill="1" applyBorder="1" applyAlignment="1">
      <alignment horizontal="center"/>
    </xf>
    <xf numFmtId="0" fontId="63" fillId="0" borderId="23" xfId="0" applyFont="1" applyBorder="1"/>
    <xf numFmtId="3" fontId="62" fillId="24" borderId="76" xfId="51" applyNumberFormat="1" applyFont="1" applyFill="1" applyBorder="1" applyAlignment="1" applyProtection="1">
      <alignment horizontal="center" vertical="center"/>
      <protection locked="0"/>
    </xf>
    <xf numFmtId="0" fontId="64" fillId="0" borderId="0" xfId="0" applyFont="1" applyAlignment="1">
      <alignment horizontal="center" wrapText="1"/>
    </xf>
    <xf numFmtId="3" fontId="63" fillId="24" borderId="0" xfId="0" applyNumberFormat="1" applyFont="1" applyFill="1" applyAlignment="1">
      <alignment horizontal="center"/>
    </xf>
    <xf numFmtId="0" fontId="64" fillId="0" borderId="0" xfId="0" applyFont="1" applyAlignment="1">
      <alignment horizontal="center" vertical="center"/>
    </xf>
    <xf numFmtId="0" fontId="63" fillId="24" borderId="19" xfId="0" applyFont="1" applyFill="1" applyBorder="1" applyAlignment="1">
      <alignment horizontal="center" vertical="center" wrapText="1"/>
    </xf>
    <xf numFmtId="0" fontId="63" fillId="0" borderId="19" xfId="0" applyFont="1" applyBorder="1" applyAlignment="1">
      <alignment wrapText="1"/>
    </xf>
    <xf numFmtId="0" fontId="63" fillId="30" borderId="19" xfId="0" applyFont="1" applyFill="1" applyBorder="1"/>
    <xf numFmtId="0" fontId="63" fillId="24" borderId="19" xfId="0" applyFont="1" applyFill="1" applyBorder="1" applyAlignment="1">
      <alignment horizontal="center" wrapText="1"/>
    </xf>
    <xf numFmtId="0" fontId="63" fillId="0" borderId="19" xfId="0" applyFont="1" applyBorder="1" applyAlignment="1">
      <alignment horizontal="center" wrapText="1"/>
    </xf>
    <xf numFmtId="0" fontId="47" fillId="0" borderId="193" xfId="3" applyFont="1" applyBorder="1" applyAlignment="1">
      <alignment horizontal="center" vertical="center" wrapText="1"/>
    </xf>
    <xf numFmtId="0" fontId="63" fillId="0" borderId="193" xfId="0" applyFont="1" applyBorder="1" applyAlignment="1">
      <alignment horizontal="center" wrapText="1"/>
    </xf>
    <xf numFmtId="0" fontId="63" fillId="30" borderId="193" xfId="0" applyFont="1" applyFill="1" applyBorder="1"/>
    <xf numFmtId="43" fontId="64" fillId="33" borderId="19" xfId="1" applyFont="1" applyFill="1" applyBorder="1" applyAlignment="1">
      <alignment vertical="center"/>
    </xf>
    <xf numFmtId="2" fontId="64" fillId="30" borderId="19" xfId="3" applyNumberFormat="1" applyFont="1" applyFill="1" applyBorder="1" applyAlignment="1">
      <alignment horizontal="center" wrapText="1"/>
    </xf>
    <xf numFmtId="0" fontId="45" fillId="30" borderId="194" xfId="0" applyFont="1" applyFill="1" applyBorder="1" applyAlignment="1">
      <alignment horizontal="center"/>
    </xf>
    <xf numFmtId="0" fontId="63" fillId="0" borderId="23" xfId="3" applyFont="1" applyBorder="1" applyAlignment="1">
      <alignment horizontal="center" vertical="center" wrapText="1"/>
    </xf>
    <xf numFmtId="0" fontId="64" fillId="0" borderId="65" xfId="3" applyFont="1" applyBorder="1" applyAlignment="1">
      <alignment horizontal="center" vertical="center"/>
    </xf>
    <xf numFmtId="0" fontId="61" fillId="28" borderId="0" xfId="0" applyFont="1" applyFill="1"/>
    <xf numFmtId="0" fontId="64" fillId="32" borderId="0" xfId="0" applyFont="1" applyFill="1"/>
    <xf numFmtId="0" fontId="63" fillId="32" borderId="0" xfId="0" applyFont="1" applyFill="1"/>
    <xf numFmtId="0" fontId="61" fillId="28" borderId="0" xfId="0" applyFont="1" applyFill="1" applyAlignment="1">
      <alignment horizontal="right"/>
    </xf>
    <xf numFmtId="0" fontId="71" fillId="15" borderId="19" xfId="51" applyFont="1" applyFill="1" applyBorder="1" applyAlignment="1">
      <alignment horizontal="left" vertical="center"/>
    </xf>
    <xf numFmtId="3" fontId="47" fillId="15" borderId="137" xfId="0" applyNumberFormat="1" applyFont="1" applyFill="1" applyBorder="1" applyAlignment="1">
      <alignment horizontal="center" wrapText="1"/>
    </xf>
    <xf numFmtId="0" fontId="47" fillId="15" borderId="137" xfId="0" applyFont="1" applyFill="1" applyBorder="1" applyAlignment="1">
      <alignment wrapText="1"/>
    </xf>
    <xf numFmtId="2" fontId="47" fillId="15" borderId="137" xfId="0" applyNumberFormat="1" applyFont="1" applyFill="1" applyBorder="1" applyAlignment="1">
      <alignment horizontal="right" wrapText="1"/>
    </xf>
    <xf numFmtId="0" fontId="47" fillId="15" borderId="137" xfId="0" applyFont="1" applyFill="1" applyBorder="1" applyAlignment="1">
      <alignment horizontal="center" wrapText="1"/>
    </xf>
    <xf numFmtId="0" fontId="47" fillId="15" borderId="149" xfId="0" applyFont="1" applyFill="1" applyBorder="1" applyAlignment="1">
      <alignment horizontal="right" wrapText="1"/>
    </xf>
    <xf numFmtId="0" fontId="47" fillId="15" borderId="137" xfId="0" applyFont="1" applyFill="1" applyBorder="1" applyAlignment="1">
      <alignment horizontal="right" wrapText="1"/>
    </xf>
    <xf numFmtId="0" fontId="47" fillId="15" borderId="137" xfId="0" applyFont="1" applyFill="1" applyBorder="1"/>
    <xf numFmtId="43" fontId="64" fillId="15" borderId="19" xfId="1" applyFont="1" applyFill="1" applyBorder="1" applyAlignment="1">
      <alignment vertical="center"/>
    </xf>
    <xf numFmtId="4" fontId="73" fillId="32" borderId="78" xfId="0" applyNumberFormat="1" applyFont="1" applyFill="1" applyBorder="1" applyAlignment="1">
      <alignment horizontal="right" wrapText="1"/>
    </xf>
    <xf numFmtId="0" fontId="63" fillId="32" borderId="78" xfId="0" applyFont="1" applyFill="1" applyBorder="1" applyAlignment="1">
      <alignment horizontal="right" wrapText="1"/>
    </xf>
    <xf numFmtId="4" fontId="73" fillId="0" borderId="193" xfId="0" applyNumberFormat="1" applyFont="1" applyBorder="1" applyAlignment="1">
      <alignment horizontal="right" wrapText="1"/>
    </xf>
    <xf numFmtId="4" fontId="64" fillId="15" borderId="163" xfId="0" applyNumberFormat="1" applyFont="1" applyFill="1" applyBorder="1" applyAlignment="1">
      <alignment horizontal="right" wrapText="1"/>
    </xf>
    <xf numFmtId="2" fontId="63" fillId="0" borderId="69" xfId="0" applyNumberFormat="1" applyFont="1" applyBorder="1" applyAlignment="1">
      <alignment vertical="center"/>
    </xf>
    <xf numFmtId="178" fontId="31" fillId="0" borderId="69" xfId="0" applyNumberFormat="1" applyFont="1" applyBorder="1" applyAlignment="1">
      <alignment vertical="center"/>
    </xf>
    <xf numFmtId="178" fontId="63" fillId="0" borderId="120" xfId="0" applyNumberFormat="1" applyFont="1" applyBorder="1" applyAlignment="1">
      <alignment horizontal="right" vertical="center"/>
    </xf>
    <xf numFmtId="178" fontId="63" fillId="0" borderId="60" xfId="0" applyNumberFormat="1" applyFont="1" applyBorder="1" applyAlignment="1">
      <alignment vertical="center"/>
    </xf>
    <xf numFmtId="4" fontId="63" fillId="0" borderId="119" xfId="0" applyNumberFormat="1" applyFont="1" applyBorder="1" applyAlignment="1">
      <alignment vertical="center"/>
    </xf>
    <xf numFmtId="2" fontId="63" fillId="0" borderId="119" xfId="0" applyNumberFormat="1" applyFont="1" applyBorder="1" applyAlignment="1">
      <alignment vertical="center"/>
    </xf>
    <xf numFmtId="2" fontId="63" fillId="0" borderId="116" xfId="0" applyNumberFormat="1" applyFont="1" applyBorder="1" applyAlignment="1">
      <alignment vertical="center"/>
    </xf>
    <xf numFmtId="178" fontId="63" fillId="0" borderId="120" xfId="0" applyNumberFormat="1" applyFont="1" applyBorder="1" applyAlignment="1">
      <alignment vertical="center"/>
    </xf>
    <xf numFmtId="2" fontId="63" fillId="0" borderId="69" xfId="0" applyNumberFormat="1" applyFont="1" applyBorder="1" applyAlignment="1">
      <alignment vertical="center" wrapText="1"/>
    </xf>
    <xf numFmtId="2" fontId="63" fillId="24" borderId="69" xfId="0" applyNumberFormat="1" applyFont="1" applyFill="1" applyBorder="1" applyAlignment="1">
      <alignment vertical="center"/>
    </xf>
    <xf numFmtId="2" fontId="63" fillId="0" borderId="69" xfId="0" applyNumberFormat="1" applyFont="1" applyBorder="1" applyAlignment="1">
      <alignment horizontal="center" vertical="center"/>
    </xf>
    <xf numFmtId="2" fontId="63" fillId="0" borderId="69" xfId="0" applyNumberFormat="1" applyFont="1" applyBorder="1" applyAlignment="1">
      <alignment horizontal="right" vertical="center"/>
    </xf>
    <xf numFmtId="2" fontId="63" fillId="52" borderId="69" xfId="0" applyNumberFormat="1" applyFont="1" applyFill="1" applyBorder="1" applyAlignment="1">
      <alignment vertical="center"/>
    </xf>
    <xf numFmtId="39" fontId="63" fillId="0" borderId="119" xfId="1" applyNumberFormat="1" applyFont="1" applyBorder="1" applyAlignment="1">
      <alignment horizontal="right" vertical="center"/>
    </xf>
    <xf numFmtId="39" fontId="63" fillId="0" borderId="119" xfId="0" applyNumberFormat="1" applyFont="1" applyBorder="1" applyAlignment="1">
      <alignment horizontal="right" vertical="center"/>
    </xf>
    <xf numFmtId="39" fontId="63" fillId="0" borderId="119" xfId="0" applyNumberFormat="1" applyFont="1" applyBorder="1" applyAlignment="1">
      <alignment vertical="center"/>
    </xf>
    <xf numFmtId="178" fontId="63" fillId="0" borderId="69" xfId="1" applyNumberFormat="1" applyFont="1" applyBorder="1" applyAlignment="1">
      <alignment horizontal="right" vertical="center"/>
    </xf>
    <xf numFmtId="178" fontId="63" fillId="0" borderId="60" xfId="0" applyNumberFormat="1" applyFont="1" applyBorder="1" applyAlignment="1">
      <alignment horizontal="right" vertical="center"/>
    </xf>
    <xf numFmtId="2" fontId="63" fillId="0" borderId="69" xfId="1" applyNumberFormat="1" applyFont="1" applyBorder="1" applyAlignment="1">
      <alignment horizontal="right" vertical="center"/>
    </xf>
    <xf numFmtId="2" fontId="63" fillId="0" borderId="116" xfId="0" applyNumberFormat="1" applyFont="1" applyBorder="1" applyAlignment="1">
      <alignment horizontal="right" vertical="center"/>
    </xf>
    <xf numFmtId="4" fontId="63" fillId="24" borderId="119" xfId="0" applyNumberFormat="1" applyFont="1" applyFill="1" applyBorder="1" applyAlignment="1">
      <alignment horizontal="center" vertical="center" wrapText="1"/>
    </xf>
    <xf numFmtId="0" fontId="63" fillId="0" borderId="21" xfId="0" applyFont="1" applyBorder="1" applyAlignment="1">
      <alignment horizontal="left" wrapText="1"/>
    </xf>
    <xf numFmtId="0" fontId="70" fillId="26" borderId="156" xfId="0" applyFont="1" applyFill="1" applyBorder="1" applyAlignment="1">
      <alignment horizontal="center" vertical="center" wrapText="1"/>
    </xf>
    <xf numFmtId="0" fontId="70" fillId="26" borderId="175" xfId="0" applyFont="1" applyFill="1" applyBorder="1" applyAlignment="1">
      <alignment horizontal="center" vertical="center" wrapText="1"/>
    </xf>
    <xf numFmtId="0" fontId="61" fillId="6" borderId="173" xfId="0" applyFont="1" applyFill="1" applyBorder="1" applyAlignment="1">
      <alignment horizontal="center" vertical="center"/>
    </xf>
    <xf numFmtId="43" fontId="62" fillId="24" borderId="19" xfId="1" applyFont="1" applyFill="1" applyBorder="1"/>
    <xf numFmtId="3" fontId="62" fillId="0" borderId="19" xfId="0" applyNumberFormat="1" applyFont="1" applyBorder="1"/>
    <xf numFmtId="0" fontId="72" fillId="6" borderId="91" xfId="0" applyFont="1" applyFill="1" applyBorder="1" applyAlignment="1">
      <alignment wrapText="1"/>
    </xf>
    <xf numFmtId="0" fontId="63" fillId="10" borderId="202" xfId="44" applyFont="1" applyFill="1" applyBorder="1" applyProtection="1">
      <protection locked="0"/>
    </xf>
    <xf numFmtId="3" fontId="63" fillId="10" borderId="202" xfId="44" applyNumberFormat="1" applyFont="1" applyFill="1" applyBorder="1" applyProtection="1">
      <protection locked="0"/>
    </xf>
    <xf numFmtId="3" fontId="63" fillId="0" borderId="202" xfId="44" applyNumberFormat="1" applyFont="1" applyBorder="1" applyProtection="1">
      <protection locked="0"/>
    </xf>
    <xf numFmtId="0" fontId="72" fillId="6" borderId="17" xfId="44" applyFont="1" applyFill="1" applyBorder="1" applyAlignment="1" applyProtection="1">
      <alignment horizontal="center" vertical="center" wrapText="1"/>
      <protection locked="0"/>
    </xf>
    <xf numFmtId="0" fontId="72" fillId="6" borderId="14" xfId="44" applyFont="1" applyFill="1" applyBorder="1" applyAlignment="1" applyProtection="1">
      <alignment horizontal="center" vertical="center" wrapText="1"/>
      <protection locked="0"/>
    </xf>
    <xf numFmtId="0" fontId="72" fillId="6" borderId="0" xfId="44" applyFont="1" applyFill="1" applyAlignment="1" applyProtection="1">
      <alignment horizontal="center" wrapText="1"/>
      <protection locked="0"/>
    </xf>
    <xf numFmtId="0" fontId="72" fillId="6" borderId="70" xfId="44" applyFont="1" applyFill="1" applyBorder="1" applyAlignment="1">
      <alignment horizontal="center" wrapText="1"/>
    </xf>
    <xf numFmtId="0" fontId="72" fillId="6" borderId="62" xfId="44" applyFont="1" applyFill="1" applyBorder="1" applyAlignment="1" applyProtection="1">
      <alignment horizontal="center" wrapText="1"/>
      <protection locked="0"/>
    </xf>
    <xf numFmtId="0" fontId="72" fillId="6" borderId="17" xfId="44" applyFont="1" applyFill="1" applyBorder="1" applyAlignment="1" applyProtection="1">
      <alignment horizontal="center" wrapText="1"/>
      <protection locked="0"/>
    </xf>
    <xf numFmtId="0" fontId="72" fillId="6" borderId="14" xfId="44" applyFont="1" applyFill="1" applyBorder="1" applyAlignment="1" applyProtection="1">
      <alignment horizontal="center" wrapText="1"/>
      <protection locked="0"/>
    </xf>
    <xf numFmtId="0" fontId="61" fillId="6" borderId="203" xfId="44" applyFont="1" applyFill="1" applyBorder="1"/>
    <xf numFmtId="0" fontId="61" fillId="6" borderId="204" xfId="44" applyFont="1" applyFill="1" applyBorder="1"/>
    <xf numFmtId="0" fontId="72" fillId="6" borderId="204" xfId="44" applyFont="1" applyFill="1" applyBorder="1"/>
    <xf numFmtId="4" fontId="72" fillId="6" borderId="204" xfId="44" applyNumberFormat="1" applyFont="1" applyFill="1" applyBorder="1"/>
    <xf numFmtId="0" fontId="72" fillId="6" borderId="205" xfId="44" applyFont="1" applyFill="1" applyBorder="1"/>
    <xf numFmtId="0" fontId="63" fillId="15" borderId="17" xfId="0" applyFont="1" applyFill="1" applyBorder="1" applyAlignment="1">
      <alignment horizontal="center" vertical="center"/>
    </xf>
    <xf numFmtId="0" fontId="63" fillId="15" borderId="70" xfId="0" applyFont="1" applyFill="1" applyBorder="1" applyAlignment="1">
      <alignment horizontal="center" vertical="top" wrapText="1"/>
    </xf>
    <xf numFmtId="0" fontId="63" fillId="15" borderId="60" xfId="0" applyFont="1" applyFill="1" applyBorder="1" applyAlignment="1">
      <alignment horizontal="center" vertical="center"/>
    </xf>
    <xf numFmtId="0" fontId="63" fillId="15" borderId="122" xfId="0" applyFont="1" applyFill="1" applyBorder="1" applyAlignment="1">
      <alignment vertical="center" wrapText="1"/>
    </xf>
    <xf numFmtId="0" fontId="63" fillId="15" borderId="116" xfId="0" applyFont="1" applyFill="1" applyBorder="1" applyAlignment="1">
      <alignment horizontal="center" vertical="center"/>
    </xf>
    <xf numFmtId="178" fontId="63" fillId="15" borderId="69" xfId="0" applyNumberFormat="1" applyFont="1" applyFill="1" applyBorder="1" applyAlignment="1">
      <alignment vertical="center"/>
    </xf>
    <xf numFmtId="178" fontId="63" fillId="15" borderId="69" xfId="0" applyNumberFormat="1" applyFont="1" applyFill="1" applyBorder="1" applyAlignment="1">
      <alignment horizontal="right" vertical="center"/>
    </xf>
    <xf numFmtId="178" fontId="63" fillId="15" borderId="119" xfId="0" applyNumberFormat="1" applyFont="1" applyFill="1" applyBorder="1" applyAlignment="1">
      <alignment vertical="center"/>
    </xf>
    <xf numFmtId="0" fontId="63" fillId="15" borderId="0" xfId="0" applyFont="1" applyFill="1" applyAlignment="1">
      <alignment vertical="center" wrapText="1"/>
    </xf>
    <xf numFmtId="0" fontId="63" fillId="15" borderId="0" xfId="0" applyFont="1" applyFill="1" applyAlignment="1">
      <alignment horizontal="center" vertical="center" wrapText="1"/>
    </xf>
    <xf numFmtId="0" fontId="64" fillId="0" borderId="0" xfId="0" applyFont="1" applyAlignment="1">
      <alignment horizontal="center"/>
    </xf>
    <xf numFmtId="3" fontId="63" fillId="10" borderId="54" xfId="20" applyNumberFormat="1" applyFont="1" applyFill="1" applyBorder="1" applyAlignment="1">
      <alignment horizontal="center" vertical="center"/>
    </xf>
    <xf numFmtId="3" fontId="63" fillId="10" borderId="54" xfId="20" applyNumberFormat="1" applyFont="1" applyFill="1" applyBorder="1" applyAlignment="1">
      <alignment horizontal="center"/>
    </xf>
    <xf numFmtId="10" fontId="62" fillId="0" borderId="0" xfId="7" applyNumberFormat="1" applyFont="1" applyFill="1"/>
    <xf numFmtId="11" fontId="63" fillId="0" borderId="0" xfId="0" applyNumberFormat="1" applyFont="1" applyAlignment="1">
      <alignment horizontal="center" vertical="center"/>
    </xf>
    <xf numFmtId="11" fontId="63" fillId="0" borderId="11" xfId="0" applyNumberFormat="1" applyFont="1" applyBorder="1" applyAlignment="1">
      <alignment horizontal="right" vertical="center"/>
    </xf>
    <xf numFmtId="11" fontId="63" fillId="0" borderId="11" xfId="0" applyNumberFormat="1" applyFont="1" applyBorder="1" applyAlignment="1">
      <alignment horizontal="center" vertical="center"/>
    </xf>
    <xf numFmtId="4" fontId="64" fillId="0" borderId="3" xfId="0" applyNumberFormat="1" applyFont="1" applyBorder="1" applyAlignment="1">
      <alignment vertical="center"/>
    </xf>
    <xf numFmtId="4" fontId="63" fillId="20" borderId="0" xfId="0" applyNumberFormat="1" applyFont="1" applyFill="1"/>
    <xf numFmtId="167" fontId="63" fillId="0" borderId="189" xfId="0" applyNumberFormat="1" applyFont="1" applyBorder="1" applyAlignment="1">
      <alignment vertical="center"/>
    </xf>
    <xf numFmtId="4" fontId="68" fillId="0" borderId="147" xfId="0" applyNumberFormat="1" applyFont="1" applyBorder="1"/>
    <xf numFmtId="4" fontId="68" fillId="0" borderId="3" xfId="0" applyNumberFormat="1" applyFont="1" applyBorder="1"/>
    <xf numFmtId="4" fontId="64" fillId="0" borderId="3" xfId="0" applyNumberFormat="1" applyFont="1" applyBorder="1"/>
    <xf numFmtId="4" fontId="68" fillId="0" borderId="78" xfId="0" applyNumberFormat="1" applyFont="1" applyBorder="1"/>
    <xf numFmtId="4" fontId="68" fillId="0" borderId="147" xfId="0" applyNumberFormat="1" applyFont="1" applyBorder="1" applyAlignment="1">
      <alignment vertical="center" wrapText="1"/>
    </xf>
    <xf numFmtId="4" fontId="68" fillId="0" borderId="3" xfId="0" applyNumberFormat="1" applyFont="1" applyBorder="1" applyAlignment="1">
      <alignment vertical="center" wrapText="1"/>
    </xf>
    <xf numFmtId="4" fontId="68" fillId="0" borderId="78" xfId="0" applyNumberFormat="1" applyFont="1" applyBorder="1" applyAlignment="1">
      <alignment vertical="center" wrapText="1"/>
    </xf>
    <xf numFmtId="4" fontId="68" fillId="0" borderId="0" xfId="0" applyNumberFormat="1" applyFont="1" applyAlignment="1">
      <alignment vertical="center" wrapText="1"/>
    </xf>
    <xf numFmtId="0" fontId="132" fillId="0" borderId="36" xfId="0" applyFont="1" applyBorder="1"/>
    <xf numFmtId="2" fontId="70" fillId="0" borderId="69" xfId="58" applyNumberFormat="1" applyFont="1" applyBorder="1"/>
    <xf numFmtId="2" fontId="70" fillId="37" borderId="69" xfId="58" applyNumberFormat="1" applyFont="1" applyFill="1" applyBorder="1"/>
    <xf numFmtId="0" fontId="63" fillId="0" borderId="202" xfId="58" applyFont="1" applyBorder="1"/>
    <xf numFmtId="40" fontId="64" fillId="10" borderId="69" xfId="45" applyNumberFormat="1" applyFont="1" applyFill="1" applyBorder="1" applyAlignment="1" applyProtection="1">
      <protection locked="0"/>
    </xf>
    <xf numFmtId="40" fontId="64" fillId="0" borderId="69" xfId="45" applyNumberFormat="1" applyFont="1" applyBorder="1" applyAlignment="1" applyProtection="1">
      <protection locked="0"/>
    </xf>
    <xf numFmtId="40" fontId="64" fillId="0" borderId="69" xfId="45" applyNumberFormat="1" applyFont="1" applyFill="1" applyBorder="1" applyAlignment="1" applyProtection="1">
      <protection locked="0"/>
    </xf>
    <xf numFmtId="4" fontId="62" fillId="0" borderId="69" xfId="37" applyNumberFormat="1" applyFont="1" applyFill="1" applyBorder="1"/>
    <xf numFmtId="169" fontId="62" fillId="0" borderId="0" xfId="3" applyNumberFormat="1" applyFont="1"/>
    <xf numFmtId="3" fontId="64" fillId="0" borderId="0" xfId="3" applyNumberFormat="1" applyFont="1"/>
    <xf numFmtId="169" fontId="64" fillId="0" borderId="0" xfId="3" applyNumberFormat="1" applyFont="1"/>
    <xf numFmtId="41" fontId="64" fillId="0" borderId="0" xfId="37" applyFont="1" applyFill="1"/>
    <xf numFmtId="41" fontId="63" fillId="0" borderId="0" xfId="37" applyFont="1" applyFill="1"/>
    <xf numFmtId="38" fontId="64" fillId="0" borderId="0" xfId="46" applyNumberFormat="1" applyFont="1"/>
    <xf numFmtId="3" fontId="63" fillId="0" borderId="0" xfId="3" applyNumberFormat="1" applyFont="1"/>
    <xf numFmtId="170" fontId="63" fillId="0" borderId="0" xfId="3" applyNumberFormat="1" applyFont="1"/>
    <xf numFmtId="4" fontId="64" fillId="0" borderId="0" xfId="3" applyNumberFormat="1" applyFont="1"/>
    <xf numFmtId="38" fontId="62" fillId="0" borderId="0" xfId="3" applyNumberFormat="1" applyFont="1"/>
    <xf numFmtId="0" fontId="61" fillId="6" borderId="17" xfId="58" applyFont="1" applyFill="1" applyBorder="1" applyAlignment="1">
      <alignment horizontal="center" vertical="center" wrapText="1"/>
    </xf>
    <xf numFmtId="0" fontId="61" fillId="6" borderId="60" xfId="58" applyFont="1" applyFill="1" applyBorder="1" applyAlignment="1">
      <alignment horizontal="center" vertical="center" wrapText="1"/>
    </xf>
    <xf numFmtId="166" fontId="64" fillId="39" borderId="101" xfId="1" applyNumberFormat="1" applyFont="1" applyFill="1" applyBorder="1" applyAlignment="1">
      <alignment horizontal="center" vertical="center"/>
    </xf>
    <xf numFmtId="178" fontId="142" fillId="0" borderId="119" xfId="0" applyNumberFormat="1" applyFont="1" applyBorder="1" applyAlignment="1">
      <alignment vertical="center"/>
    </xf>
    <xf numFmtId="178" fontId="64" fillId="0" borderId="119" xfId="0" applyNumberFormat="1" applyFont="1" applyBorder="1" applyAlignment="1">
      <alignment vertical="center"/>
    </xf>
    <xf numFmtId="39" fontId="142" fillId="0" borderId="119" xfId="0" applyNumberFormat="1" applyFont="1" applyBorder="1" applyAlignment="1">
      <alignment vertical="center"/>
    </xf>
    <xf numFmtId="2" fontId="63" fillId="0" borderId="75" xfId="0" applyNumberFormat="1" applyFont="1" applyBorder="1" applyAlignment="1">
      <alignment vertical="center"/>
    </xf>
    <xf numFmtId="0" fontId="63" fillId="0" borderId="206" xfId="0" applyFont="1" applyBorder="1" applyAlignment="1">
      <alignment vertical="center"/>
    </xf>
    <xf numFmtId="0" fontId="63" fillId="0" borderId="122" xfId="0" applyFont="1" applyBorder="1" applyAlignment="1">
      <alignment horizontal="center" vertical="center"/>
    </xf>
    <xf numFmtId="182" fontId="63" fillId="0" borderId="69" xfId="1" applyNumberFormat="1" applyFont="1" applyFill="1" applyBorder="1" applyAlignment="1">
      <alignment horizontal="right" vertical="center"/>
    </xf>
    <xf numFmtId="183" fontId="63" fillId="0" borderId="119" xfId="0" applyNumberFormat="1" applyFont="1" applyBorder="1" applyAlignment="1">
      <alignment horizontal="right" vertical="center"/>
    </xf>
    <xf numFmtId="0" fontId="61" fillId="55" borderId="0" xfId="0" applyFont="1" applyFill="1" applyAlignment="1">
      <alignment horizontal="center"/>
    </xf>
    <xf numFmtId="4" fontId="61" fillId="55" borderId="204" xfId="0" applyNumberFormat="1" applyFont="1" applyFill="1" applyBorder="1" applyAlignment="1">
      <alignment horizontal="center"/>
    </xf>
    <xf numFmtId="4" fontId="61" fillId="55" borderId="205" xfId="0" applyNumberFormat="1" applyFont="1" applyFill="1" applyBorder="1" applyAlignment="1">
      <alignment horizontal="center"/>
    </xf>
    <xf numFmtId="0" fontId="63" fillId="26" borderId="157" xfId="0" applyFont="1" applyFill="1" applyBorder="1" applyAlignment="1">
      <alignment horizontal="left" vertical="center"/>
    </xf>
    <xf numFmtId="0" fontId="63" fillId="0" borderId="189" xfId="0" applyFont="1" applyBorder="1" applyAlignment="1">
      <alignment horizontal="center" wrapText="1"/>
    </xf>
    <xf numFmtId="0" fontId="63" fillId="0" borderId="189" xfId="0" applyFont="1" applyBorder="1" applyAlignment="1">
      <alignment horizontal="center"/>
    </xf>
    <xf numFmtId="0" fontId="63" fillId="0" borderId="189" xfId="0" applyFont="1" applyBorder="1" applyAlignment="1">
      <alignment horizontal="center" vertical="center"/>
    </xf>
    <xf numFmtId="2" fontId="67" fillId="0" borderId="189" xfId="0" applyNumberFormat="1" applyFont="1" applyBorder="1" applyAlignment="1">
      <alignment vertical="center"/>
    </xf>
    <xf numFmtId="4" fontId="68" fillId="0" borderId="206" xfId="0" applyNumberFormat="1" applyFont="1" applyBorder="1" applyAlignment="1">
      <alignment vertical="center"/>
    </xf>
    <xf numFmtId="0" fontId="63" fillId="26" borderId="71" xfId="0" applyFont="1" applyFill="1" applyBorder="1" applyAlignment="1">
      <alignment horizontal="left" vertical="center"/>
    </xf>
    <xf numFmtId="0" fontId="63" fillId="24" borderId="0" xfId="0" applyFont="1" applyFill="1" applyAlignment="1">
      <alignment horizontal="center" vertical="center"/>
    </xf>
    <xf numFmtId="2" fontId="63" fillId="0" borderId="189" xfId="0" applyNumberFormat="1" applyFont="1" applyBorder="1" applyAlignment="1">
      <alignment horizontal="center" vertical="center"/>
    </xf>
    <xf numFmtId="2" fontId="63" fillId="0" borderId="189" xfId="0" applyNumberFormat="1" applyFont="1" applyBorder="1" applyAlignment="1">
      <alignment horizontal="center"/>
    </xf>
    <xf numFmtId="3" fontId="63" fillId="0" borderId="189" xfId="0" applyNumberFormat="1" applyFont="1" applyBorder="1" applyAlignment="1">
      <alignment horizontal="center" wrapText="1"/>
    </xf>
    <xf numFmtId="0" fontId="61" fillId="55" borderId="69" xfId="0" applyFont="1" applyFill="1" applyBorder="1" applyAlignment="1">
      <alignment horizontal="center"/>
    </xf>
    <xf numFmtId="165" fontId="63" fillId="0" borderId="69" xfId="0" applyNumberFormat="1" applyFont="1" applyBorder="1"/>
    <xf numFmtId="4" fontId="63" fillId="0" borderId="11" xfId="0" applyNumberFormat="1" applyFont="1" applyBorder="1" applyAlignment="1">
      <alignment horizontal="right" wrapText="1"/>
    </xf>
    <xf numFmtId="2" fontId="64" fillId="15" borderId="193" xfId="0" applyNumberFormat="1" applyFont="1" applyFill="1" applyBorder="1" applyAlignment="1">
      <alignment wrapText="1"/>
    </xf>
    <xf numFmtId="2" fontId="64" fillId="15" borderId="137" xfId="0" applyNumberFormat="1" applyFont="1" applyFill="1" applyBorder="1" applyAlignment="1">
      <alignment horizontal="right" wrapText="1"/>
    </xf>
    <xf numFmtId="4" fontId="63" fillId="0" borderId="194" xfId="3" applyNumberFormat="1" applyFont="1" applyBorder="1" applyAlignment="1">
      <alignment wrapText="1"/>
    </xf>
    <xf numFmtId="0" fontId="64" fillId="20" borderId="0" xfId="0" applyFont="1" applyFill="1" applyAlignment="1">
      <alignment horizontal="center"/>
    </xf>
    <xf numFmtId="0" fontId="63" fillId="10" borderId="69" xfId="51" applyFont="1" applyFill="1" applyBorder="1" applyAlignment="1">
      <alignment horizontal="center" vertical="center"/>
    </xf>
    <xf numFmtId="0" fontId="63" fillId="10" borderId="74" xfId="51" applyFont="1" applyFill="1" applyBorder="1" applyAlignment="1">
      <alignment horizontal="left" vertical="center"/>
    </xf>
    <xf numFmtId="43" fontId="61" fillId="55" borderId="69" xfId="1" applyFont="1" applyFill="1" applyBorder="1" applyAlignment="1"/>
    <xf numFmtId="0" fontId="61" fillId="55" borderId="76" xfId="51" applyFont="1" applyFill="1" applyBorder="1"/>
    <xf numFmtId="43" fontId="61" fillId="55" borderId="69" xfId="51" applyNumberFormat="1" applyFont="1" applyFill="1" applyBorder="1"/>
    <xf numFmtId="0" fontId="62" fillId="0" borderId="16" xfId="53" applyFont="1" applyBorder="1" applyAlignment="1">
      <alignment horizontal="center" vertical="center"/>
    </xf>
    <xf numFmtId="0" fontId="62" fillId="0" borderId="2" xfId="53" applyFont="1" applyBorder="1" applyAlignment="1">
      <alignment horizontal="center" vertical="center"/>
    </xf>
    <xf numFmtId="0" fontId="62" fillId="0" borderId="61" xfId="53" applyFont="1" applyBorder="1" applyAlignment="1">
      <alignment horizontal="center" vertical="center"/>
    </xf>
    <xf numFmtId="0" fontId="62" fillId="0" borderId="76" xfId="53" applyFont="1" applyBorder="1" applyAlignment="1">
      <alignment horizontal="center" vertical="center"/>
    </xf>
    <xf numFmtId="0" fontId="62" fillId="0" borderId="17" xfId="53" applyFont="1" applyBorder="1" applyAlignment="1">
      <alignment horizontal="center" vertical="center"/>
    </xf>
    <xf numFmtId="0" fontId="62" fillId="0" borderId="70" xfId="53" applyFont="1" applyBorder="1" applyAlignment="1">
      <alignment horizontal="center" vertical="center"/>
    </xf>
    <xf numFmtId="0" fontId="62" fillId="0" borderId="60" xfId="53" applyFont="1" applyBorder="1" applyAlignment="1">
      <alignment horizontal="center" vertical="center"/>
    </xf>
    <xf numFmtId="0" fontId="62" fillId="0" borderId="69" xfId="53" applyFont="1" applyBorder="1" applyAlignment="1">
      <alignment horizontal="center" vertical="center"/>
    </xf>
    <xf numFmtId="0" fontId="61" fillId="6" borderId="202" xfId="51" applyFont="1" applyFill="1" applyBorder="1" applyAlignment="1">
      <alignment horizontal="center" vertical="center" wrapText="1"/>
    </xf>
    <xf numFmtId="0" fontId="61" fillId="55" borderId="0" xfId="0" applyFont="1" applyFill="1" applyAlignment="1">
      <alignment horizontal="center" wrapText="1"/>
    </xf>
    <xf numFmtId="0" fontId="143" fillId="55" borderId="0" xfId="0" applyFont="1" applyFill="1" applyAlignment="1">
      <alignment horizontal="center"/>
    </xf>
    <xf numFmtId="43" fontId="143" fillId="55" borderId="0" xfId="1" applyFont="1" applyFill="1" applyAlignment="1">
      <alignment horizontal="center"/>
    </xf>
    <xf numFmtId="0" fontId="64" fillId="30" borderId="19" xfId="0" applyFont="1" applyFill="1" applyBorder="1" applyAlignment="1">
      <alignment horizontal="center" vertical="center" wrapText="1"/>
    </xf>
    <xf numFmtId="0" fontId="63" fillId="0" borderId="201" xfId="0" applyFont="1" applyBorder="1" applyAlignment="1">
      <alignment vertical="center"/>
    </xf>
    <xf numFmtId="0" fontId="63" fillId="0" borderId="201" xfId="0" applyFont="1" applyBorder="1"/>
    <xf numFmtId="165" fontId="63" fillId="0" borderId="17" xfId="0" applyNumberFormat="1" applyFont="1" applyBorder="1" applyAlignment="1">
      <alignment horizontal="center"/>
    </xf>
    <xf numFmtId="0" fontId="61" fillId="55" borderId="15" xfId="0" applyFont="1" applyFill="1" applyBorder="1" applyAlignment="1">
      <alignment horizontal="center"/>
    </xf>
    <xf numFmtId="0" fontId="61" fillId="55" borderId="17" xfId="0" applyFont="1" applyFill="1" applyBorder="1" applyAlignment="1">
      <alignment horizontal="center"/>
    </xf>
    <xf numFmtId="2" fontId="63" fillId="0" borderId="137" xfId="0" applyNumberFormat="1" applyFont="1" applyBorder="1" applyAlignment="1">
      <alignment horizontal="right"/>
    </xf>
    <xf numFmtId="0" fontId="71" fillId="0" borderId="19" xfId="51" applyFont="1" applyBorder="1" applyAlignment="1">
      <alignment horizontal="left" vertical="center"/>
    </xf>
    <xf numFmtId="43" fontId="135" fillId="0" borderId="19" xfId="3" applyNumberFormat="1" applyFont="1" applyBorder="1"/>
    <xf numFmtId="0" fontId="61" fillId="55" borderId="19" xfId="3" applyFont="1" applyFill="1" applyBorder="1" applyAlignment="1">
      <alignment horizontal="center" vertical="center"/>
    </xf>
    <xf numFmtId="2" fontId="45" fillId="30" borderId="137" xfId="3" applyNumberFormat="1" applyFont="1" applyFill="1" applyBorder="1"/>
    <xf numFmtId="0" fontId="45" fillId="0" borderId="73" xfId="3" applyFont="1" applyBorder="1" applyAlignment="1">
      <alignment horizontal="center" wrapText="1"/>
    </xf>
    <xf numFmtId="43" fontId="63" fillId="0" borderId="193" xfId="1" applyFont="1" applyFill="1" applyBorder="1" applyAlignment="1">
      <alignment horizontal="right" wrapText="1"/>
    </xf>
    <xf numFmtId="43" fontId="45" fillId="0" borderId="193" xfId="1" applyFont="1" applyFill="1" applyBorder="1" applyAlignment="1">
      <alignment horizontal="right" wrapText="1"/>
    </xf>
    <xf numFmtId="0" fontId="61" fillId="55" borderId="19" xfId="3" applyFont="1" applyFill="1" applyBorder="1" applyAlignment="1">
      <alignment horizontal="center"/>
    </xf>
    <xf numFmtId="0" fontId="61" fillId="55" borderId="164" xfId="3" applyFont="1" applyFill="1" applyBorder="1" applyAlignment="1">
      <alignment horizontal="center" vertical="center"/>
    </xf>
    <xf numFmtId="43" fontId="47" fillId="0" borderId="137" xfId="1" applyFont="1" applyFill="1" applyBorder="1" applyAlignment="1">
      <alignment wrapText="1"/>
    </xf>
    <xf numFmtId="3" fontId="64" fillId="39" borderId="80" xfId="0" applyNumberFormat="1" applyFont="1" applyFill="1" applyBorder="1" applyAlignment="1">
      <alignment horizontal="center" vertical="center"/>
    </xf>
    <xf numFmtId="3" fontId="63" fillId="0" borderId="60" xfId="44" applyNumberFormat="1" applyFont="1" applyBorder="1" applyAlignment="1" applyProtection="1">
      <alignment horizontal="center" wrapText="1"/>
      <protection locked="0"/>
    </xf>
    <xf numFmtId="0" fontId="61" fillId="55" borderId="21" xfId="0" applyFont="1" applyFill="1" applyBorder="1" applyAlignment="1">
      <alignment horizontal="center" vertical="center" wrapText="1"/>
    </xf>
    <xf numFmtId="0" fontId="61" fillId="55" borderId="164" xfId="0" applyFont="1" applyFill="1" applyBorder="1" applyAlignment="1">
      <alignment horizontal="center" vertical="center" wrapText="1"/>
    </xf>
    <xf numFmtId="4" fontId="61" fillId="6" borderId="20" xfId="0" applyNumberFormat="1" applyFont="1" applyFill="1" applyBorder="1"/>
    <xf numFmtId="0" fontId="72" fillId="55" borderId="0" xfId="0" applyFont="1" applyFill="1"/>
    <xf numFmtId="165" fontId="61" fillId="55" borderId="106" xfId="0" applyNumberFormat="1" applyFont="1" applyFill="1" applyBorder="1" applyAlignment="1">
      <alignment horizontal="center" vertical="center"/>
    </xf>
    <xf numFmtId="165" fontId="61" fillId="55" borderId="103" xfId="0" applyNumberFormat="1" applyFont="1" applyFill="1" applyBorder="1" applyAlignment="1">
      <alignment horizontal="center" vertical="center"/>
    </xf>
    <xf numFmtId="0" fontId="143" fillId="55" borderId="0" xfId="0" applyFont="1" applyFill="1" applyAlignment="1">
      <alignment horizontal="center" vertical="center"/>
    </xf>
    <xf numFmtId="43" fontId="143" fillId="55" borderId="0" xfId="1" applyFont="1" applyFill="1" applyAlignment="1">
      <alignment horizontal="center" vertical="center"/>
    </xf>
    <xf numFmtId="0" fontId="61" fillId="55" borderId="0" xfId="0" applyFont="1" applyFill="1" applyAlignment="1">
      <alignment horizontal="center" vertical="center"/>
    </xf>
    <xf numFmtId="0" fontId="64" fillId="0" borderId="0" xfId="0" applyFont="1" applyAlignment="1">
      <alignment horizontal="center" vertical="center" wrapText="1"/>
    </xf>
    <xf numFmtId="2" fontId="63" fillId="30" borderId="137" xfId="0" applyNumberFormat="1" applyFont="1" applyFill="1" applyBorder="1"/>
    <xf numFmtId="0" fontId="47" fillId="0" borderId="23" xfId="0" applyFont="1" applyBorder="1" applyAlignment="1">
      <alignment horizontal="center" vertical="center" wrapText="1"/>
    </xf>
    <xf numFmtId="3" fontId="63" fillId="24" borderId="189" xfId="0" applyNumberFormat="1" applyFont="1" applyFill="1" applyBorder="1" applyAlignment="1">
      <alignment horizontal="center" vertical="center"/>
    </xf>
    <xf numFmtId="0" fontId="63" fillId="20" borderId="193" xfId="0" applyFont="1" applyFill="1" applyBorder="1"/>
    <xf numFmtId="4" fontId="62" fillId="47" borderId="76" xfId="58" applyNumberFormat="1" applyFont="1" applyFill="1" applyBorder="1"/>
    <xf numFmtId="4" fontId="62" fillId="21" borderId="76" xfId="58" applyNumberFormat="1" applyFont="1" applyFill="1" applyBorder="1" applyAlignment="1">
      <alignment horizontal="right" vertical="center"/>
    </xf>
    <xf numFmtId="4" fontId="62" fillId="23" borderId="69" xfId="58" applyNumberFormat="1" applyFont="1" applyFill="1" applyBorder="1"/>
    <xf numFmtId="4" fontId="62" fillId="23" borderId="76" xfId="58" applyNumberFormat="1" applyFont="1" applyFill="1" applyBorder="1"/>
    <xf numFmtId="4" fontId="62" fillId="0" borderId="76" xfId="58" applyNumberFormat="1" applyFont="1" applyBorder="1"/>
    <xf numFmtId="0" fontId="63" fillId="24" borderId="193" xfId="0" applyFont="1" applyFill="1" applyBorder="1" applyAlignment="1">
      <alignment horizontal="center" vertical="center"/>
    </xf>
    <xf numFmtId="0" fontId="64" fillId="29" borderId="189" xfId="0" applyFont="1" applyFill="1" applyBorder="1" applyAlignment="1">
      <alignment horizontal="left" wrapText="1"/>
    </xf>
    <xf numFmtId="4" fontId="14" fillId="24" borderId="202" xfId="0" applyNumberFormat="1" applyFont="1" applyFill="1" applyBorder="1"/>
    <xf numFmtId="4" fontId="14" fillId="24" borderId="19" xfId="0" applyNumberFormat="1" applyFont="1" applyFill="1" applyBorder="1"/>
    <xf numFmtId="165" fontId="63" fillId="0" borderId="205" xfId="0" applyNumberFormat="1" applyFont="1" applyBorder="1" applyAlignment="1">
      <alignment horizontal="center"/>
    </xf>
    <xf numFmtId="165" fontId="63" fillId="0" borderId="16" xfId="0" applyNumberFormat="1" applyFont="1" applyBorder="1" applyAlignment="1">
      <alignment horizontal="center"/>
    </xf>
    <xf numFmtId="165" fontId="61" fillId="55" borderId="152" xfId="0" applyNumberFormat="1" applyFont="1" applyFill="1" applyBorder="1" applyAlignment="1">
      <alignment horizontal="center" vertical="center"/>
    </xf>
    <xf numFmtId="3" fontId="125" fillId="24" borderId="202" xfId="0" applyNumberFormat="1" applyFont="1" applyFill="1" applyBorder="1" applyAlignment="1">
      <alignment horizontal="right" vertical="center"/>
    </xf>
    <xf numFmtId="43" fontId="61" fillId="55" borderId="206" xfId="1" applyFont="1" applyFill="1" applyBorder="1" applyAlignment="1">
      <alignment horizontal="center" vertical="center" wrapText="1"/>
    </xf>
    <xf numFmtId="0" fontId="63" fillId="0" borderId="176" xfId="55" applyNumberFormat="1" applyFont="1" applyBorder="1" applyAlignment="1">
      <alignment horizontal="center" vertical="center"/>
    </xf>
    <xf numFmtId="166" fontId="62" fillId="0" borderId="214" xfId="1" applyNumberFormat="1" applyFont="1" applyBorder="1"/>
    <xf numFmtId="0" fontId="63" fillId="0" borderId="48" xfId="55" applyNumberFormat="1" applyFont="1" applyFill="1" applyBorder="1" applyAlignment="1">
      <alignment horizontal="center" vertical="center"/>
    </xf>
    <xf numFmtId="166" fontId="62" fillId="24" borderId="152" xfId="1" applyNumberFormat="1" applyFont="1" applyFill="1" applyBorder="1" applyAlignment="1">
      <alignment horizontal="center" vertical="center"/>
    </xf>
    <xf numFmtId="166" fontId="62" fillId="24" borderId="104" xfId="1" applyNumberFormat="1" applyFont="1" applyFill="1" applyBorder="1" applyAlignment="1">
      <alignment horizontal="center" vertical="center"/>
    </xf>
    <xf numFmtId="166" fontId="62" fillId="0" borderId="133" xfId="1" applyNumberFormat="1" applyFont="1" applyBorder="1"/>
    <xf numFmtId="0" fontId="61" fillId="55" borderId="206" xfId="0" applyFont="1" applyFill="1" applyBorder="1" applyAlignment="1">
      <alignment horizontal="center" vertical="center" wrapText="1"/>
    </xf>
    <xf numFmtId="166" fontId="62" fillId="24" borderId="202" xfId="1" applyNumberFormat="1" applyFont="1" applyFill="1" applyBorder="1" applyAlignment="1">
      <alignment horizontal="center" vertical="center"/>
    </xf>
    <xf numFmtId="166" fontId="62" fillId="0" borderId="135" xfId="1" applyNumberFormat="1" applyFont="1" applyFill="1" applyBorder="1" applyAlignment="1">
      <alignment horizontal="center" vertical="center"/>
    </xf>
    <xf numFmtId="166" fontId="62" fillId="24" borderId="135" xfId="1" applyNumberFormat="1" applyFont="1" applyFill="1" applyBorder="1" applyAlignment="1">
      <alignment horizontal="center" vertical="center"/>
    </xf>
    <xf numFmtId="0" fontId="61" fillId="55" borderId="156" xfId="0" applyFont="1" applyFill="1" applyBorder="1" applyAlignment="1">
      <alignment horizontal="center" vertical="center" wrapText="1"/>
    </xf>
    <xf numFmtId="166" fontId="63" fillId="24" borderId="135" xfId="1" applyNumberFormat="1" applyFont="1" applyFill="1" applyBorder="1"/>
    <xf numFmtId="166" fontId="63" fillId="24" borderId="136" xfId="1" applyNumberFormat="1" applyFont="1" applyFill="1" applyBorder="1"/>
    <xf numFmtId="0" fontId="61" fillId="55" borderId="92" xfId="0" applyFont="1" applyFill="1" applyBorder="1" applyAlignment="1">
      <alignment horizontal="center" vertical="center" wrapText="1"/>
    </xf>
    <xf numFmtId="166" fontId="63" fillId="24" borderId="136" xfId="1" applyNumberFormat="1" applyFont="1" applyFill="1" applyBorder="1" applyAlignment="1">
      <alignment horizontal="center"/>
    </xf>
    <xf numFmtId="0" fontId="64" fillId="20" borderId="193" xfId="0" applyFont="1" applyFill="1" applyBorder="1"/>
    <xf numFmtId="0" fontId="63" fillId="10" borderId="71" xfId="0" applyFont="1" applyFill="1" applyBorder="1" applyAlignment="1">
      <alignment horizontal="center"/>
    </xf>
    <xf numFmtId="0" fontId="63" fillId="10" borderId="0" xfId="0" applyFont="1" applyFill="1" applyAlignment="1">
      <alignment horizontal="left"/>
    </xf>
    <xf numFmtId="0" fontId="63" fillId="10" borderId="0" xfId="0" applyFont="1" applyFill="1" applyAlignment="1">
      <alignment horizontal="center"/>
    </xf>
    <xf numFmtId="0" fontId="63" fillId="10" borderId="2" xfId="0" applyFont="1" applyFill="1" applyBorder="1" applyAlignment="1">
      <alignment horizontal="center"/>
    </xf>
    <xf numFmtId="0" fontId="63" fillId="10" borderId="63" xfId="0" applyFont="1" applyFill="1" applyBorder="1" applyAlignment="1">
      <alignment horizontal="center"/>
    </xf>
    <xf numFmtId="0" fontId="63" fillId="10" borderId="62" xfId="0" applyFont="1" applyFill="1" applyBorder="1" applyAlignment="1">
      <alignment horizontal="left"/>
    </xf>
    <xf numFmtId="0" fontId="63" fillId="10" borderId="62" xfId="0" applyFont="1" applyFill="1" applyBorder="1" applyAlignment="1">
      <alignment horizontal="center"/>
    </xf>
    <xf numFmtId="0" fontId="63" fillId="10" borderId="61" xfId="0" applyFont="1" applyFill="1" applyBorder="1" applyAlignment="1">
      <alignment horizontal="center"/>
    </xf>
    <xf numFmtId="0" fontId="62" fillId="0" borderId="17" xfId="3" applyFont="1" applyBorder="1" applyAlignment="1">
      <alignment horizontal="center" vertical="top" wrapText="1"/>
    </xf>
    <xf numFmtId="4" fontId="74" fillId="0" borderId="19" xfId="3" applyNumberFormat="1" applyFont="1" applyBorder="1"/>
    <xf numFmtId="0" fontId="61" fillId="55" borderId="164" xfId="0" applyFont="1" applyFill="1" applyBorder="1" applyAlignment="1">
      <alignment horizontal="center" wrapText="1"/>
    </xf>
    <xf numFmtId="4" fontId="62" fillId="0" borderId="69" xfId="1" applyNumberFormat="1" applyFont="1" applyFill="1" applyBorder="1" applyAlignment="1">
      <alignment horizontal="center" vertical="center" wrapText="1"/>
    </xf>
    <xf numFmtId="4" fontId="62" fillId="15" borderId="69" xfId="1" applyNumberFormat="1" applyFont="1" applyFill="1" applyBorder="1" applyAlignment="1">
      <alignment horizontal="center" vertical="center" wrapText="1"/>
    </xf>
    <xf numFmtId="4" fontId="62" fillId="10" borderId="69" xfId="1" applyNumberFormat="1" applyFont="1" applyFill="1" applyBorder="1" applyAlignment="1">
      <alignment horizontal="center" vertical="center" wrapText="1"/>
    </xf>
    <xf numFmtId="4" fontId="62" fillId="10" borderId="69" xfId="18" applyNumberFormat="1" applyFont="1" applyFill="1" applyBorder="1" applyAlignment="1">
      <alignment horizontal="center" vertical="center" wrapText="1"/>
    </xf>
    <xf numFmtId="4" fontId="70" fillId="3" borderId="69" xfId="18" applyNumberFormat="1" applyFont="1" applyFill="1" applyBorder="1" applyAlignment="1">
      <alignment horizontal="center" vertical="center" wrapText="1"/>
    </xf>
    <xf numFmtId="0" fontId="80" fillId="45" borderId="89" xfId="0" applyFont="1" applyFill="1" applyBorder="1" applyAlignment="1">
      <alignment horizontal="center" vertical="center"/>
    </xf>
    <xf numFmtId="0" fontId="62" fillId="44" borderId="74" xfId="3" applyFont="1" applyFill="1" applyBorder="1" applyAlignment="1">
      <alignment horizontal="left" vertical="center" indent="1"/>
    </xf>
    <xf numFmtId="4" fontId="63" fillId="24" borderId="69" xfId="0" applyNumberFormat="1" applyFont="1" applyFill="1" applyBorder="1" applyAlignment="1">
      <alignment horizontal="left"/>
    </xf>
    <xf numFmtId="49" fontId="63" fillId="24" borderId="69" xfId="0" applyNumberFormat="1" applyFont="1" applyFill="1" applyBorder="1" applyAlignment="1">
      <alignment horizontal="left"/>
    </xf>
    <xf numFmtId="166" fontId="62" fillId="0" borderId="69" xfId="1" applyNumberFormat="1" applyFont="1" applyFill="1" applyBorder="1" applyAlignment="1">
      <alignment horizontal="center" vertical="center"/>
    </xf>
    <xf numFmtId="0" fontId="61" fillId="28" borderId="2" xfId="0" applyFont="1" applyFill="1" applyBorder="1" applyAlignment="1">
      <alignment horizontal="center" vertical="center" wrapText="1"/>
    </xf>
    <xf numFmtId="4" fontId="62" fillId="34" borderId="69" xfId="18" applyNumberFormat="1" applyFont="1" applyFill="1" applyBorder="1" applyAlignment="1">
      <alignment horizontal="center" vertical="center" wrapText="1"/>
    </xf>
    <xf numFmtId="4" fontId="63" fillId="35" borderId="69" xfId="2" applyNumberFormat="1" applyFont="1" applyFill="1" applyBorder="1" applyAlignment="1">
      <alignment horizontal="center" vertical="center" wrapText="1"/>
    </xf>
    <xf numFmtId="4" fontId="62" fillId="36" borderId="69" xfId="18" applyNumberFormat="1" applyFont="1" applyFill="1" applyBorder="1" applyAlignment="1">
      <alignment horizontal="center" vertical="center" wrapText="1"/>
    </xf>
    <xf numFmtId="4" fontId="62" fillId="15" borderId="69" xfId="18" applyNumberFormat="1" applyFont="1" applyFill="1" applyBorder="1" applyAlignment="1">
      <alignment horizontal="center" vertical="center" wrapText="1"/>
    </xf>
    <xf numFmtId="4" fontId="62" fillId="35" borderId="69" xfId="18" applyNumberFormat="1" applyFont="1" applyFill="1" applyBorder="1" applyAlignment="1">
      <alignment horizontal="center" vertical="center" wrapText="1"/>
    </xf>
    <xf numFmtId="4" fontId="62" fillId="34" borderId="46" xfId="2" applyNumberFormat="1" applyFont="1" applyFill="1" applyBorder="1" applyAlignment="1">
      <alignment horizontal="center" vertical="center" wrapText="1"/>
    </xf>
    <xf numFmtId="4" fontId="63" fillId="34" borderId="69" xfId="2" applyNumberFormat="1" applyFont="1" applyFill="1" applyBorder="1" applyAlignment="1">
      <alignment horizontal="center" vertical="center" wrapText="1"/>
    </xf>
    <xf numFmtId="4" fontId="62" fillId="10" borderId="74" xfId="2" applyNumberFormat="1" applyFont="1" applyFill="1" applyBorder="1" applyAlignment="1">
      <alignment horizontal="center" wrapText="1"/>
    </xf>
    <xf numFmtId="4" fontId="63" fillId="34" borderId="46" xfId="2" applyNumberFormat="1" applyFont="1" applyFill="1" applyBorder="1" applyAlignment="1">
      <alignment horizontal="center" vertical="center" wrapText="1"/>
    </xf>
    <xf numFmtId="4" fontId="62" fillId="36" borderId="46" xfId="18" applyNumberFormat="1" applyFont="1" applyFill="1" applyBorder="1" applyAlignment="1">
      <alignment horizontal="center" vertical="center" wrapText="1"/>
    </xf>
    <xf numFmtId="4" fontId="63" fillId="15" borderId="69" xfId="2" applyNumberFormat="1" applyFont="1" applyFill="1" applyBorder="1" applyAlignment="1">
      <alignment horizontal="center" vertical="center" wrapText="1"/>
    </xf>
    <xf numFmtId="4" fontId="62" fillId="15" borderId="74" xfId="2" applyNumberFormat="1" applyFont="1" applyFill="1" applyBorder="1" applyAlignment="1">
      <alignment horizontal="center" wrapText="1"/>
    </xf>
    <xf numFmtId="4" fontId="73" fillId="15" borderId="69" xfId="2" applyNumberFormat="1" applyFont="1" applyFill="1" applyBorder="1" applyAlignment="1">
      <alignment horizontal="center" vertical="center" wrapText="1"/>
    </xf>
    <xf numFmtId="4" fontId="63" fillId="37" borderId="69" xfId="2" applyNumberFormat="1" applyFont="1" applyFill="1" applyBorder="1" applyAlignment="1">
      <alignment horizontal="center" vertical="center" wrapText="1"/>
    </xf>
    <xf numFmtId="4" fontId="73" fillId="37" borderId="69" xfId="2" applyNumberFormat="1" applyFont="1" applyFill="1" applyBorder="1" applyAlignment="1">
      <alignment horizontal="center" vertical="center" wrapText="1"/>
    </xf>
    <xf numFmtId="4" fontId="61" fillId="4" borderId="46" xfId="17" applyNumberFormat="1" applyFont="1" applyFill="1" applyBorder="1" applyAlignment="1">
      <alignment horizontal="center" vertical="center" wrapText="1"/>
    </xf>
    <xf numFmtId="4" fontId="61" fillId="4" borderId="69" xfId="17" applyNumberFormat="1" applyFont="1" applyFill="1" applyBorder="1" applyAlignment="1">
      <alignment horizontal="center" vertical="center" wrapText="1"/>
    </xf>
    <xf numFmtId="4" fontId="61" fillId="4" borderId="74" xfId="17" applyNumberFormat="1" applyFont="1" applyFill="1" applyBorder="1" applyAlignment="1">
      <alignment horizontal="center" wrapText="1"/>
    </xf>
    <xf numFmtId="4" fontId="70" fillId="26" borderId="130" xfId="17" applyNumberFormat="1" applyFont="1" applyFill="1" applyBorder="1" applyAlignment="1">
      <alignment wrapText="1"/>
    </xf>
    <xf numFmtId="4" fontId="70" fillId="26" borderId="75" xfId="17" applyNumberFormat="1" applyFont="1" applyFill="1" applyBorder="1" applyAlignment="1">
      <alignment wrapText="1"/>
    </xf>
    <xf numFmtId="4" fontId="62" fillId="34" borderId="69" xfId="2" applyNumberFormat="1" applyFont="1" applyFill="1" applyBorder="1" applyAlignment="1">
      <alignment horizontal="center" vertical="center" wrapText="1"/>
    </xf>
    <xf numFmtId="4" fontId="62" fillId="15" borderId="74" xfId="2" applyNumberFormat="1" applyFont="1" applyFill="1" applyBorder="1" applyAlignment="1">
      <alignment horizontal="center" vertical="center" wrapText="1"/>
    </xf>
    <xf numFmtId="4" fontId="63" fillId="34" borderId="202" xfId="2" applyNumberFormat="1" applyFont="1" applyFill="1" applyBorder="1" applyAlignment="1">
      <alignment horizontal="center" vertical="center" wrapText="1"/>
    </xf>
    <xf numFmtId="4" fontId="62" fillId="15" borderId="69" xfId="2" applyNumberFormat="1" applyFont="1" applyFill="1" applyBorder="1" applyAlignment="1">
      <alignment horizontal="center" vertical="center" wrapText="1"/>
    </xf>
    <xf numFmtId="4" fontId="62" fillId="35" borderId="176" xfId="2" applyNumberFormat="1" applyFont="1" applyFill="1" applyBorder="1" applyAlignment="1">
      <alignment horizontal="center" wrapText="1"/>
    </xf>
    <xf numFmtId="4" fontId="62" fillId="15" borderId="69" xfId="2" applyNumberFormat="1" applyFont="1" applyFill="1" applyBorder="1" applyAlignment="1">
      <alignment wrapText="1"/>
    </xf>
    <xf numFmtId="4" fontId="61" fillId="4" borderId="69" xfId="17" applyNumberFormat="1" applyFont="1" applyFill="1" applyBorder="1" applyAlignment="1">
      <alignment wrapText="1"/>
    </xf>
    <xf numFmtId="4" fontId="61" fillId="4" borderId="74" xfId="17" applyNumberFormat="1" applyFont="1" applyFill="1" applyBorder="1" applyAlignment="1">
      <alignment horizontal="center" vertical="center" wrapText="1"/>
    </xf>
    <xf numFmtId="4" fontId="62" fillId="35" borderId="46" xfId="2" applyNumberFormat="1" applyFont="1" applyFill="1" applyBorder="1" applyAlignment="1">
      <alignment horizontal="center" wrapText="1"/>
    </xf>
    <xf numFmtId="4" fontId="62" fillId="10" borderId="74" xfId="2" applyNumberFormat="1" applyFont="1" applyFill="1" applyBorder="1" applyAlignment="1">
      <alignment horizontal="center" vertical="center" wrapText="1"/>
    </xf>
    <xf numFmtId="4" fontId="62" fillId="37" borderId="69" xfId="2" applyNumberFormat="1" applyFont="1" applyFill="1" applyBorder="1" applyAlignment="1">
      <alignment horizontal="center" vertical="center" wrapText="1"/>
    </xf>
    <xf numFmtId="4" fontId="114" fillId="33" borderId="46" xfId="2" applyNumberFormat="1" applyFont="1" applyFill="1" applyBorder="1" applyAlignment="1">
      <alignment horizontal="center" wrapText="1"/>
    </xf>
    <xf numFmtId="4" fontId="114" fillId="33" borderId="176" xfId="2" applyNumberFormat="1" applyFont="1" applyFill="1" applyBorder="1" applyAlignment="1">
      <alignment horizontal="center" wrapText="1"/>
    </xf>
    <xf numFmtId="4" fontId="61" fillId="4" borderId="48" xfId="17" applyNumberFormat="1" applyFont="1" applyFill="1" applyBorder="1" applyAlignment="1">
      <alignment horizontal="center" wrapText="1"/>
    </xf>
    <xf numFmtId="4" fontId="61" fillId="4" borderId="135" xfId="17" applyNumberFormat="1" applyFont="1" applyFill="1" applyBorder="1" applyAlignment="1">
      <alignment horizontal="center" wrapText="1"/>
    </xf>
    <xf numFmtId="4" fontId="61" fillId="4" borderId="127" xfId="17" applyNumberFormat="1" applyFont="1" applyFill="1" applyBorder="1" applyAlignment="1">
      <alignment horizontal="center" wrapText="1"/>
    </xf>
    <xf numFmtId="4" fontId="73" fillId="34" borderId="202" xfId="2" applyNumberFormat="1" applyFont="1" applyFill="1" applyBorder="1" applyAlignment="1">
      <alignment horizontal="center" vertical="center" wrapText="1"/>
    </xf>
    <xf numFmtId="4" fontId="73" fillId="34" borderId="69" xfId="2" applyNumberFormat="1" applyFont="1" applyFill="1" applyBorder="1" applyAlignment="1">
      <alignment horizontal="center" vertical="center" wrapText="1"/>
    </xf>
    <xf numFmtId="4" fontId="73" fillId="36" borderId="46" xfId="18" applyNumberFormat="1" applyFont="1" applyFill="1" applyBorder="1" applyAlignment="1">
      <alignment horizontal="center" vertical="center" wrapText="1"/>
    </xf>
    <xf numFmtId="4" fontId="73" fillId="37" borderId="69" xfId="2" applyNumberFormat="1" applyFont="1" applyFill="1" applyBorder="1" applyAlignment="1">
      <alignment horizontal="center" wrapText="1"/>
    </xf>
    <xf numFmtId="4" fontId="73" fillId="47" borderId="69" xfId="2" applyNumberFormat="1" applyFont="1" applyFill="1" applyBorder="1" applyAlignment="1">
      <alignment horizontal="center" wrapText="1"/>
    </xf>
    <xf numFmtId="0" fontId="62" fillId="0" borderId="0" xfId="0" applyFont="1" applyFill="1"/>
    <xf numFmtId="0" fontId="73" fillId="0" borderId="0" xfId="0" applyFont="1" applyFill="1"/>
    <xf numFmtId="0" fontId="42" fillId="0" borderId="36" xfId="0" applyFont="1" applyFill="1" applyBorder="1" applyAlignment="1">
      <alignment horizontal="center" vertical="center"/>
    </xf>
    <xf numFmtId="0" fontId="63" fillId="0" borderId="69" xfId="26" applyFont="1" applyBorder="1"/>
    <xf numFmtId="0" fontId="63" fillId="10" borderId="69" xfId="49" applyFont="1" applyFill="1" applyBorder="1"/>
    <xf numFmtId="9" fontId="63" fillId="10" borderId="69" xfId="50" applyFont="1" applyFill="1" applyBorder="1"/>
    <xf numFmtId="10" fontId="63" fillId="10" borderId="69" xfId="50" applyNumberFormat="1" applyFont="1" applyFill="1" applyBorder="1"/>
    <xf numFmtId="0" fontId="32" fillId="0" borderId="0" xfId="0" applyFont="1" applyFill="1"/>
    <xf numFmtId="3" fontId="63" fillId="0" borderId="0" xfId="0" applyNumberFormat="1" applyFont="1" applyAlignment="1">
      <alignment horizontal="center" vertical="center"/>
    </xf>
    <xf numFmtId="0" fontId="63" fillId="0" borderId="0" xfId="0" applyFont="1"/>
    <xf numFmtId="0" fontId="63" fillId="0" borderId="0" xfId="0" applyFont="1" applyAlignment="1">
      <alignment wrapText="1"/>
    </xf>
    <xf numFmtId="3" fontId="68" fillId="0" borderId="3" xfId="0" applyNumberFormat="1" applyFont="1" applyBorder="1" applyAlignment="1">
      <alignment vertical="center"/>
    </xf>
    <xf numFmtId="3" fontId="63" fillId="0" borderId="0" xfId="0" applyNumberFormat="1" applyFont="1" applyFill="1" applyAlignment="1">
      <alignment horizontal="center" vertical="center"/>
    </xf>
    <xf numFmtId="0" fontId="63" fillId="0" borderId="0" xfId="0" applyFont="1" applyFill="1" applyAlignment="1">
      <alignment horizontal="center" vertical="center"/>
    </xf>
    <xf numFmtId="167" fontId="63" fillId="0" borderId="0" xfId="0" applyNumberFormat="1" applyFont="1" applyFill="1" applyAlignment="1">
      <alignment vertical="center"/>
    </xf>
    <xf numFmtId="0" fontId="63" fillId="0" borderId="0" xfId="0" applyFont="1" applyFill="1"/>
    <xf numFmtId="0" fontId="63" fillId="0" borderId="202" xfId="0" applyFont="1" applyFill="1" applyBorder="1" applyAlignment="1">
      <alignment horizontal="center"/>
    </xf>
    <xf numFmtId="171" fontId="63" fillId="0" borderId="202" xfId="0" applyNumberFormat="1" applyFont="1" applyFill="1" applyBorder="1" applyAlignment="1">
      <alignment horizontal="right" wrapText="1"/>
    </xf>
    <xf numFmtId="171" fontId="64" fillId="0" borderId="202" xfId="0" applyNumberFormat="1" applyFont="1" applyFill="1" applyBorder="1" applyAlignment="1">
      <alignment horizontal="right" wrapText="1"/>
    </xf>
    <xf numFmtId="3" fontId="63" fillId="0" borderId="7" xfId="0" applyNumberFormat="1" applyFont="1" applyBorder="1" applyAlignment="1">
      <alignment horizontal="center"/>
    </xf>
    <xf numFmtId="167" fontId="67" fillId="0" borderId="0" xfId="0" applyNumberFormat="1" applyFont="1" applyFill="1"/>
    <xf numFmtId="0" fontId="63" fillId="0" borderId="3" xfId="0" applyFont="1" applyBorder="1" applyAlignment="1">
      <alignment horizontal="center" vertical="center" wrapText="1"/>
    </xf>
    <xf numFmtId="0" fontId="63" fillId="0" borderId="23" xfId="0" applyFont="1" applyBorder="1" applyAlignment="1">
      <alignment horizontal="center" vertical="center" wrapText="1"/>
    </xf>
    <xf numFmtId="0" fontId="63" fillId="0" borderId="137" xfId="0" applyFont="1" applyBorder="1" applyAlignment="1">
      <alignment horizontal="center" vertical="center" wrapText="1"/>
    </xf>
    <xf numFmtId="3" fontId="63" fillId="10" borderId="168" xfId="20" applyNumberFormat="1" applyFont="1" applyFill="1" applyBorder="1" applyAlignment="1">
      <alignment horizontal="center" vertical="center"/>
    </xf>
    <xf numFmtId="0" fontId="64" fillId="4" borderId="135" xfId="20" applyFont="1" applyFill="1" applyBorder="1" applyAlignment="1">
      <alignment horizontal="center" vertical="center" wrapText="1"/>
    </xf>
    <xf numFmtId="0" fontId="64" fillId="11" borderId="160" xfId="20" applyFont="1" applyFill="1" applyBorder="1" applyAlignment="1">
      <alignment vertical="center"/>
    </xf>
    <xf numFmtId="3" fontId="63" fillId="10" borderId="69" xfId="20" applyNumberFormat="1" applyFont="1" applyFill="1" applyBorder="1" applyAlignment="1">
      <alignment horizontal="center"/>
    </xf>
    <xf numFmtId="0" fontId="62" fillId="0" borderId="0" xfId="20" applyFont="1" applyFill="1" applyAlignment="1">
      <alignment horizontal="center"/>
    </xf>
    <xf numFmtId="0" fontId="62" fillId="0" borderId="0" xfId="20" applyFont="1" applyFill="1"/>
    <xf numFmtId="0" fontId="92" fillId="0" borderId="135" xfId="20" applyFont="1" applyFill="1" applyBorder="1" applyAlignment="1">
      <alignment horizontal="center" vertical="center" wrapText="1"/>
    </xf>
    <xf numFmtId="0" fontId="66" fillId="0" borderId="0" xfId="20" applyFont="1" applyFill="1" applyBorder="1" applyAlignment="1">
      <alignment wrapText="1"/>
    </xf>
    <xf numFmtId="0" fontId="66" fillId="0" borderId="0" xfId="20" applyFont="1" applyFill="1" applyBorder="1"/>
    <xf numFmtId="0" fontId="66" fillId="0" borderId="0" xfId="20" applyFont="1" applyFill="1" applyBorder="1" applyAlignment="1">
      <alignment horizontal="center"/>
    </xf>
    <xf numFmtId="9" fontId="63" fillId="0" borderId="69" xfId="44" applyNumberFormat="1" applyFont="1" applyFill="1" applyBorder="1"/>
    <xf numFmtId="2" fontId="63" fillId="0" borderId="83" xfId="44" applyNumberFormat="1" applyFont="1" applyFill="1" applyBorder="1"/>
    <xf numFmtId="0" fontId="64" fillId="0" borderId="0" xfId="0" applyFont="1" applyFill="1" applyBorder="1" applyAlignment="1">
      <alignment horizontal="center" vertical="center"/>
    </xf>
    <xf numFmtId="0" fontId="63" fillId="0" borderId="0" xfId="0" applyFont="1" applyFill="1" applyBorder="1" applyAlignment="1">
      <alignment horizontal="center"/>
    </xf>
    <xf numFmtId="0" fontId="63" fillId="0" borderId="0" xfId="0" applyFont="1" applyFill="1" applyBorder="1" applyAlignment="1">
      <alignment horizontal="left"/>
    </xf>
    <xf numFmtId="0" fontId="38" fillId="0" borderId="35" xfId="0" applyFont="1" applyBorder="1" applyAlignment="1">
      <alignment horizontal="center" vertical="center"/>
    </xf>
    <xf numFmtId="0" fontId="38" fillId="0" borderId="36" xfId="0" applyFont="1" applyBorder="1" applyAlignment="1">
      <alignment horizontal="center" vertical="center"/>
    </xf>
    <xf numFmtId="0" fontId="38" fillId="0" borderId="37" xfId="0" applyFont="1" applyBorder="1" applyAlignment="1">
      <alignment horizontal="center" vertical="center"/>
    </xf>
    <xf numFmtId="0" fontId="38" fillId="0" borderId="38" xfId="0" applyFont="1" applyBorder="1" applyAlignment="1">
      <alignment horizontal="center" vertical="center"/>
    </xf>
    <xf numFmtId="4" fontId="63" fillId="24" borderId="74" xfId="0" applyNumberFormat="1" applyFont="1" applyFill="1" applyBorder="1"/>
    <xf numFmtId="4" fontId="63" fillId="24" borderId="75" xfId="0" applyNumberFormat="1" applyFont="1" applyFill="1" applyBorder="1"/>
    <xf numFmtId="4" fontId="63" fillId="24" borderId="76" xfId="0" applyNumberFormat="1" applyFont="1" applyFill="1" applyBorder="1"/>
    <xf numFmtId="0" fontId="80" fillId="45" borderId="0" xfId="0" applyFont="1" applyFill="1" applyAlignment="1">
      <alignment horizontal="center" vertical="center"/>
    </xf>
    <xf numFmtId="0" fontId="63" fillId="10" borderId="0" xfId="3" applyFont="1" applyFill="1" applyAlignment="1">
      <alignment horizontal="center" vertical="center"/>
    </xf>
    <xf numFmtId="0" fontId="63" fillId="0" borderId="154" xfId="3" applyFont="1" applyBorder="1" applyAlignment="1">
      <alignment horizontal="center" vertical="center" wrapText="1"/>
    </xf>
    <xf numFmtId="0" fontId="31" fillId="0" borderId="8" xfId="3" applyFont="1" applyBorder="1" applyAlignment="1">
      <alignment horizontal="center" vertical="center"/>
    </xf>
    <xf numFmtId="0" fontId="63" fillId="0" borderId="8" xfId="3" applyFont="1" applyBorder="1" applyAlignment="1">
      <alignment horizontal="center" vertical="center"/>
    </xf>
    <xf numFmtId="0" fontId="63" fillId="0" borderId="105" xfId="3" applyFont="1" applyBorder="1" applyAlignment="1">
      <alignment horizontal="center" vertical="center"/>
    </xf>
    <xf numFmtId="0" fontId="63" fillId="0" borderId="147" xfId="3" applyFont="1" applyBorder="1" applyAlignment="1">
      <alignment horizontal="center" vertical="center"/>
    </xf>
    <xf numFmtId="0" fontId="63" fillId="0" borderId="3" xfId="3" applyFont="1" applyBorder="1" applyAlignment="1">
      <alignment horizontal="center" vertical="center"/>
    </xf>
    <xf numFmtId="0" fontId="63" fillId="0" borderId="78" xfId="3" applyFont="1" applyBorder="1" applyAlignment="1">
      <alignment horizontal="center" vertical="center"/>
    </xf>
    <xf numFmtId="0" fontId="80" fillId="45" borderId="89" xfId="0" applyFont="1" applyFill="1" applyBorder="1" applyAlignment="1">
      <alignment horizontal="center" vertical="center"/>
    </xf>
    <xf numFmtId="0" fontId="62" fillId="24" borderId="69" xfId="0" applyFont="1" applyFill="1" applyBorder="1" applyAlignment="1" applyProtection="1">
      <alignment horizontal="left" vertical="center"/>
      <protection locked="0"/>
    </xf>
    <xf numFmtId="0" fontId="63" fillId="0" borderId="154" xfId="3" applyFont="1" applyBorder="1" applyAlignment="1">
      <alignment horizontal="center" vertical="center"/>
    </xf>
    <xf numFmtId="0" fontId="62" fillId="10" borderId="46" xfId="20" applyFont="1" applyFill="1" applyBorder="1" applyAlignment="1">
      <alignment horizontal="left" wrapText="1"/>
    </xf>
    <xf numFmtId="0" fontId="62" fillId="10" borderId="69" xfId="20" applyFont="1" applyFill="1" applyBorder="1" applyAlignment="1">
      <alignment horizontal="left" wrapText="1"/>
    </xf>
    <xf numFmtId="0" fontId="62" fillId="10" borderId="48" xfId="20" applyFont="1" applyFill="1" applyBorder="1" applyAlignment="1">
      <alignment horizontal="left" wrapText="1"/>
    </xf>
    <xf numFmtId="0" fontId="62" fillId="10" borderId="135" xfId="20" applyFont="1" applyFill="1" applyBorder="1" applyAlignment="1">
      <alignment horizontal="left" wrapText="1"/>
    </xf>
    <xf numFmtId="0" fontId="62" fillId="10" borderId="135" xfId="20" applyFont="1" applyFill="1" applyBorder="1" applyAlignment="1">
      <alignment horizontal="left"/>
    </xf>
    <xf numFmtId="0" fontId="62" fillId="10" borderId="130" xfId="20" applyFont="1" applyFill="1" applyBorder="1" applyAlignment="1">
      <alignment horizontal="left" wrapText="1"/>
    </xf>
    <xf numFmtId="0" fontId="62" fillId="10" borderId="76" xfId="20" applyFont="1" applyFill="1" applyBorder="1" applyAlignment="1">
      <alignment horizontal="left" wrapText="1"/>
    </xf>
    <xf numFmtId="0" fontId="62" fillId="10" borderId="69" xfId="20" applyFont="1" applyFill="1" applyBorder="1" applyAlignment="1">
      <alignment horizontal="left"/>
    </xf>
    <xf numFmtId="0" fontId="80" fillId="4" borderId="5" xfId="20" applyFont="1" applyFill="1" applyBorder="1" applyAlignment="1">
      <alignment horizontal="center" vertical="center" wrapText="1"/>
    </xf>
    <xf numFmtId="0" fontId="80" fillId="4" borderId="160" xfId="20" applyFont="1" applyFill="1" applyBorder="1" applyAlignment="1">
      <alignment horizontal="center" vertical="center" wrapText="1"/>
    </xf>
    <xf numFmtId="0" fontId="80" fillId="4" borderId="158" xfId="20" applyFont="1" applyFill="1" applyBorder="1" applyAlignment="1">
      <alignment horizontal="center" vertical="center" wrapText="1"/>
    </xf>
    <xf numFmtId="0" fontId="80" fillId="4" borderId="161" xfId="20" applyFont="1" applyFill="1" applyBorder="1" applyAlignment="1">
      <alignment horizontal="center" vertical="center" wrapText="1"/>
    </xf>
    <xf numFmtId="0" fontId="80" fillId="4" borderId="162" xfId="20" applyFont="1" applyFill="1" applyBorder="1" applyAlignment="1">
      <alignment horizontal="center" vertical="center" wrapText="1"/>
    </xf>
    <xf numFmtId="0" fontId="80" fillId="4" borderId="77" xfId="20" applyFont="1" applyFill="1" applyBorder="1" applyAlignment="1">
      <alignment horizontal="center" vertical="center" wrapText="1"/>
    </xf>
    <xf numFmtId="0" fontId="80" fillId="4" borderId="95" xfId="20" applyFont="1" applyFill="1" applyBorder="1" applyAlignment="1">
      <alignment horizontal="center" vertical="center" wrapText="1"/>
    </xf>
    <xf numFmtId="0" fontId="80" fillId="4" borderId="127" xfId="20" applyFont="1" applyFill="1" applyBorder="1" applyAlignment="1">
      <alignment horizontal="center" vertical="center" wrapText="1"/>
    </xf>
    <xf numFmtId="0" fontId="62" fillId="10" borderId="17" xfId="20" applyFont="1" applyFill="1" applyBorder="1" applyAlignment="1">
      <alignment horizontal="center" vertical="center"/>
    </xf>
    <xf numFmtId="0" fontId="62" fillId="10" borderId="70" xfId="20" applyFont="1" applyFill="1" applyBorder="1" applyAlignment="1">
      <alignment horizontal="center" vertical="center"/>
    </xf>
    <xf numFmtId="0" fontId="62" fillId="10" borderId="152" xfId="20" applyFont="1" applyFill="1" applyBorder="1" applyAlignment="1">
      <alignment horizontal="center" vertical="center"/>
    </xf>
    <xf numFmtId="0" fontId="62" fillId="10" borderId="71" xfId="20" applyFont="1" applyFill="1" applyBorder="1" applyAlignment="1" applyProtection="1">
      <alignment horizontal="left" vertical="center" wrapText="1"/>
      <protection locked="0"/>
    </xf>
    <xf numFmtId="0" fontId="62" fillId="10" borderId="0" xfId="20" applyFont="1" applyFill="1" applyAlignment="1" applyProtection="1">
      <alignment horizontal="left" vertical="center" wrapText="1"/>
      <protection locked="0"/>
    </xf>
    <xf numFmtId="0" fontId="62" fillId="10" borderId="3" xfId="20" applyFont="1" applyFill="1" applyBorder="1" applyAlignment="1" applyProtection="1">
      <alignment horizontal="left" vertical="center" wrapText="1"/>
      <protection locked="0"/>
    </xf>
    <xf numFmtId="0" fontId="62" fillId="10" borderId="151" xfId="20" applyFont="1" applyFill="1" applyBorder="1" applyAlignment="1" applyProtection="1">
      <alignment horizontal="left" vertical="center" wrapText="1"/>
      <protection locked="0"/>
    </xf>
    <xf numFmtId="0" fontId="62" fillId="10" borderId="11" xfId="20" applyFont="1" applyFill="1" applyBorder="1" applyAlignment="1" applyProtection="1">
      <alignment horizontal="left" vertical="center" wrapText="1"/>
      <protection locked="0"/>
    </xf>
    <xf numFmtId="0" fontId="62" fillId="10" borderId="78" xfId="20" applyFont="1" applyFill="1" applyBorder="1" applyAlignment="1" applyProtection="1">
      <alignment horizontal="left" vertical="center" wrapText="1"/>
      <protection locked="0"/>
    </xf>
    <xf numFmtId="0" fontId="62" fillId="10" borderId="60" xfId="20" applyFont="1" applyFill="1" applyBorder="1" applyAlignment="1">
      <alignment horizontal="center" vertical="center"/>
    </xf>
    <xf numFmtId="0" fontId="62" fillId="10" borderId="17" xfId="20" applyFont="1" applyFill="1" applyBorder="1" applyAlignment="1" applyProtection="1">
      <alignment horizontal="center" vertical="center"/>
      <protection locked="0"/>
    </xf>
    <xf numFmtId="0" fontId="62" fillId="10" borderId="70" xfId="20" applyFont="1" applyFill="1" applyBorder="1" applyAlignment="1" applyProtection="1">
      <alignment horizontal="center" vertical="center"/>
      <protection locked="0"/>
    </xf>
    <xf numFmtId="0" fontId="62" fillId="10" borderId="154" xfId="20" applyFont="1" applyFill="1" applyBorder="1" applyAlignment="1">
      <alignment horizontal="left" vertical="center"/>
    </xf>
    <xf numFmtId="0" fontId="62" fillId="10" borderId="134" xfId="20" applyFont="1" applyFill="1" applyBorder="1" applyAlignment="1">
      <alignment horizontal="left" vertical="center"/>
    </xf>
    <xf numFmtId="0" fontId="62" fillId="10" borderId="8" xfId="20" applyFont="1" applyFill="1" applyBorder="1" applyAlignment="1">
      <alignment horizontal="left" vertical="center"/>
    </xf>
    <xf numFmtId="0" fontId="62" fillId="10" borderId="2" xfId="20" applyFont="1" applyFill="1" applyBorder="1" applyAlignment="1">
      <alignment horizontal="left" vertical="center"/>
    </xf>
    <xf numFmtId="0" fontId="62" fillId="10" borderId="156" xfId="20" applyFont="1" applyFill="1" applyBorder="1" applyAlignment="1">
      <alignment horizontal="center" vertical="center"/>
    </xf>
    <xf numFmtId="0" fontId="62" fillId="10" borderId="13" xfId="20" applyFont="1" applyFill="1" applyBorder="1" applyAlignment="1" applyProtection="1">
      <alignment horizontal="left" vertical="center"/>
      <protection locked="0"/>
    </xf>
    <xf numFmtId="0" fontId="62" fillId="10" borderId="16" xfId="20" applyFont="1" applyFill="1" applyBorder="1" applyAlignment="1" applyProtection="1">
      <alignment horizontal="left" vertical="center"/>
      <protection locked="0"/>
    </xf>
    <xf numFmtId="0" fontId="62" fillId="10" borderId="8" xfId="20" applyFont="1" applyFill="1" applyBorder="1" applyAlignment="1" applyProtection="1">
      <alignment horizontal="left" vertical="center"/>
      <protection locked="0"/>
    </xf>
    <xf numFmtId="0" fontId="62" fillId="10" borderId="2" xfId="20" applyFont="1" applyFill="1" applyBorder="1" applyAlignment="1" applyProtection="1">
      <alignment horizontal="left" vertical="center"/>
      <protection locked="0"/>
    </xf>
    <xf numFmtId="0" fontId="71" fillId="10" borderId="46" xfId="20" applyFont="1" applyFill="1" applyBorder="1" applyAlignment="1">
      <alignment vertical="center" wrapText="1"/>
    </xf>
    <xf numFmtId="0" fontId="71" fillId="10" borderId="69" xfId="20" applyFont="1" applyFill="1" applyBorder="1" applyAlignment="1">
      <alignment vertical="center" wrapText="1"/>
    </xf>
    <xf numFmtId="0" fontId="71" fillId="10" borderId="74" xfId="20" applyFont="1" applyFill="1" applyBorder="1" applyAlignment="1">
      <alignment vertical="center" wrapText="1"/>
    </xf>
    <xf numFmtId="0" fontId="63" fillId="10" borderId="74" xfId="20" applyFont="1" applyFill="1" applyBorder="1" applyAlignment="1">
      <alignment vertical="center" wrapText="1"/>
    </xf>
    <xf numFmtId="0" fontId="62" fillId="10" borderId="40" xfId="20" applyFont="1" applyFill="1" applyBorder="1" applyAlignment="1">
      <alignment vertical="center" wrapText="1"/>
    </xf>
    <xf numFmtId="0" fontId="62" fillId="10" borderId="17" xfId="20" applyFont="1" applyFill="1" applyBorder="1" applyAlignment="1">
      <alignment vertical="center" wrapText="1"/>
    </xf>
    <xf numFmtId="0" fontId="62" fillId="10" borderId="15" xfId="20" applyFont="1" applyFill="1" applyBorder="1" applyAlignment="1">
      <alignment vertical="center" wrapText="1"/>
    </xf>
    <xf numFmtId="0" fontId="71" fillId="10" borderId="130" xfId="20" applyFont="1" applyFill="1" applyBorder="1" applyAlignment="1">
      <alignment vertical="center" wrapText="1"/>
    </xf>
    <xf numFmtId="0" fontId="71" fillId="10" borderId="75" xfId="20" applyFont="1" applyFill="1" applyBorder="1" applyAlignment="1">
      <alignment vertical="center" wrapText="1"/>
    </xf>
    <xf numFmtId="0" fontId="80" fillId="4" borderId="155" xfId="20" applyFont="1" applyFill="1" applyBorder="1" applyAlignment="1">
      <alignment vertical="center" wrapText="1"/>
    </xf>
    <xf numFmtId="0" fontId="80" fillId="4" borderId="156" xfId="20" applyFont="1" applyFill="1" applyBorder="1" applyAlignment="1">
      <alignment vertical="center" wrapText="1"/>
    </xf>
    <xf numFmtId="0" fontId="80" fillId="4" borderId="157" xfId="20" applyFont="1" applyFill="1" applyBorder="1" applyAlignment="1">
      <alignment vertical="center" wrapText="1"/>
    </xf>
    <xf numFmtId="0" fontId="89" fillId="10" borderId="46" xfId="20" applyFont="1" applyFill="1" applyBorder="1" applyAlignment="1">
      <alignment vertical="center" wrapText="1"/>
    </xf>
    <xf numFmtId="0" fontId="89" fillId="10" borderId="69" xfId="20" applyFont="1" applyFill="1" applyBorder="1" applyAlignment="1">
      <alignment vertical="center" wrapText="1"/>
    </xf>
    <xf numFmtId="0" fontId="89" fillId="10" borderId="74" xfId="20" applyFont="1" applyFill="1" applyBorder="1" applyAlignment="1">
      <alignment vertical="center" wrapText="1"/>
    </xf>
    <xf numFmtId="0" fontId="71" fillId="10" borderId="9" xfId="20" applyFont="1" applyFill="1" applyBorder="1" applyAlignment="1">
      <alignment vertical="center" wrapText="1"/>
    </xf>
    <xf numFmtId="0" fontId="71" fillId="10" borderId="70" xfId="20" applyFont="1" applyFill="1" applyBorder="1" applyAlignment="1">
      <alignment vertical="center" wrapText="1"/>
    </xf>
    <xf numFmtId="0" fontId="71" fillId="10" borderId="71" xfId="20" applyFont="1" applyFill="1" applyBorder="1" applyAlignment="1">
      <alignment vertical="center" wrapText="1"/>
    </xf>
    <xf numFmtId="0" fontId="62" fillId="10" borderId="13" xfId="20" applyFont="1" applyFill="1" applyBorder="1" applyAlignment="1">
      <alignment horizontal="left" vertical="center"/>
    </xf>
    <xf numFmtId="0" fontId="62" fillId="10" borderId="16" xfId="20" applyFont="1" applyFill="1" applyBorder="1" applyAlignment="1">
      <alignment horizontal="left" vertical="center"/>
    </xf>
    <xf numFmtId="0" fontId="80" fillId="4" borderId="154" xfId="20" applyFont="1" applyFill="1" applyBorder="1" applyAlignment="1">
      <alignment horizontal="center" vertical="center"/>
    </xf>
    <xf numFmtId="0" fontId="80" fillId="4" borderId="7" xfId="20" applyFont="1" applyFill="1" applyBorder="1" applyAlignment="1">
      <alignment horizontal="center" vertical="center"/>
    </xf>
    <xf numFmtId="0" fontId="80" fillId="4" borderId="134" xfId="20" applyFont="1" applyFill="1" applyBorder="1" applyAlignment="1">
      <alignment horizontal="center" vertical="center"/>
    </xf>
    <xf numFmtId="0" fontId="80" fillId="4" borderId="105" xfId="20" applyFont="1" applyFill="1" applyBorder="1" applyAlignment="1">
      <alignment horizontal="center" vertical="center"/>
    </xf>
    <xf numFmtId="0" fontId="80" fillId="4" borderId="11" xfId="20" applyFont="1" applyFill="1" applyBorder="1" applyAlignment="1">
      <alignment horizontal="center" vertical="center"/>
    </xf>
    <xf numFmtId="0" fontId="80" fillId="4" borderId="12" xfId="20" applyFont="1" applyFill="1" applyBorder="1" applyAlignment="1">
      <alignment horizontal="center" vertical="center"/>
    </xf>
    <xf numFmtId="0" fontId="80" fillId="4" borderId="157" xfId="20" applyFont="1" applyFill="1" applyBorder="1" applyAlignment="1">
      <alignment horizontal="center" vertical="center"/>
    </xf>
    <xf numFmtId="0" fontId="80" fillId="4" borderId="147" xfId="20" applyFont="1" applyFill="1" applyBorder="1" applyAlignment="1">
      <alignment horizontal="center" vertical="center"/>
    </xf>
    <xf numFmtId="0" fontId="80" fillId="4" borderId="151" xfId="20" applyFont="1" applyFill="1" applyBorder="1" applyAlignment="1">
      <alignment horizontal="center" vertical="center"/>
    </xf>
    <xf numFmtId="0" fontId="80" fillId="4" borderId="78" xfId="20" applyFont="1" applyFill="1" applyBorder="1" applyAlignment="1">
      <alignment horizontal="center" vertical="center"/>
    </xf>
    <xf numFmtId="0" fontId="78" fillId="11" borderId="0" xfId="20" applyFont="1" applyFill="1" applyAlignment="1">
      <alignment horizontal="center" vertical="center"/>
    </xf>
    <xf numFmtId="0" fontId="78" fillId="11" borderId="2" xfId="20" applyFont="1" applyFill="1" applyBorder="1" applyAlignment="1">
      <alignment horizontal="center" vertical="center"/>
    </xf>
    <xf numFmtId="0" fontId="62" fillId="10" borderId="157" xfId="20" applyFont="1" applyFill="1" applyBorder="1" applyAlignment="1">
      <alignment horizontal="left" vertical="center" wrapText="1"/>
    </xf>
    <xf numFmtId="0" fontId="62" fillId="10" borderId="7" xfId="20" applyFont="1" applyFill="1" applyBorder="1" applyAlignment="1">
      <alignment horizontal="left" vertical="center" wrapText="1"/>
    </xf>
    <xf numFmtId="0" fontId="62" fillId="10" borderId="147" xfId="20" applyFont="1" applyFill="1" applyBorder="1" applyAlignment="1">
      <alignment horizontal="left" vertical="center" wrapText="1"/>
    </xf>
    <xf numFmtId="0" fontId="62" fillId="10" borderId="71" xfId="20" applyFont="1" applyFill="1" applyBorder="1" applyAlignment="1">
      <alignment horizontal="left" vertical="center" wrapText="1"/>
    </xf>
    <xf numFmtId="0" fontId="62" fillId="10" borderId="0" xfId="20" applyFont="1" applyFill="1" applyAlignment="1">
      <alignment horizontal="left" vertical="center" wrapText="1"/>
    </xf>
    <xf numFmtId="0" fontId="62" fillId="10" borderId="3" xfId="20" applyFont="1" applyFill="1" applyBorder="1" applyAlignment="1">
      <alignment horizontal="left" vertical="center" wrapText="1"/>
    </xf>
    <xf numFmtId="0" fontId="61" fillId="5" borderId="90" xfId="17" applyFont="1" applyFill="1" applyBorder="1" applyAlignment="1">
      <alignment horizontal="center" vertical="center" wrapText="1"/>
    </xf>
    <xf numFmtId="0" fontId="61" fillId="5" borderId="91" xfId="17" applyFont="1" applyFill="1" applyBorder="1" applyAlignment="1">
      <alignment horizontal="center" vertical="center" wrapText="1"/>
    </xf>
    <xf numFmtId="0" fontId="61" fillId="5" borderId="46" xfId="17" applyFont="1" applyFill="1" applyBorder="1" applyAlignment="1">
      <alignment horizontal="center" vertical="center" wrapText="1"/>
    </xf>
    <xf numFmtId="0" fontId="61" fillId="5" borderId="69" xfId="17" applyFont="1" applyFill="1" applyBorder="1" applyAlignment="1">
      <alignment horizontal="center" vertical="center" wrapText="1"/>
    </xf>
    <xf numFmtId="0" fontId="61" fillId="5" borderId="161" xfId="17" applyFont="1" applyFill="1" applyBorder="1" applyAlignment="1">
      <alignment horizontal="center" vertical="center" wrapText="1"/>
    </xf>
    <xf numFmtId="0" fontId="61" fillId="5" borderId="74" xfId="17" applyFont="1" applyFill="1" applyBorder="1" applyAlignment="1">
      <alignment horizontal="center" vertical="center" wrapText="1"/>
    </xf>
    <xf numFmtId="0" fontId="61" fillId="5" borderId="100" xfId="17" applyFont="1" applyFill="1" applyBorder="1" applyAlignment="1">
      <alignment horizontal="center" vertical="center" wrapText="1"/>
    </xf>
    <xf numFmtId="0" fontId="61" fillId="5" borderId="97" xfId="17" applyFont="1" applyFill="1" applyBorder="1" applyAlignment="1">
      <alignment horizontal="center" vertical="center" wrapText="1"/>
    </xf>
    <xf numFmtId="0" fontId="61" fillId="5" borderId="162" xfId="17" applyFont="1" applyFill="1" applyBorder="1" applyAlignment="1">
      <alignment horizontal="center" vertical="center" wrapText="1"/>
    </xf>
    <xf numFmtId="0" fontId="61" fillId="5" borderId="131" xfId="17" applyFont="1" applyFill="1" applyBorder="1" applyAlignment="1">
      <alignment horizontal="center" vertical="center" wrapText="1"/>
    </xf>
    <xf numFmtId="1" fontId="72" fillId="4" borderId="100" xfId="0" applyNumberFormat="1" applyFont="1" applyFill="1" applyBorder="1" applyAlignment="1">
      <alignment horizontal="center" vertical="center"/>
    </xf>
    <xf numFmtId="1" fontId="72" fillId="4" borderId="98" xfId="0" applyNumberFormat="1" applyFont="1" applyFill="1" applyBorder="1" applyAlignment="1">
      <alignment horizontal="center" vertical="center"/>
    </xf>
    <xf numFmtId="0" fontId="61" fillId="46" borderId="154" xfId="17" applyFont="1" applyFill="1" applyBorder="1" applyAlignment="1">
      <alignment horizontal="center" vertical="center" wrapText="1"/>
    </xf>
    <xf numFmtId="0" fontId="61" fillId="46" borderId="7" xfId="17" applyFont="1" applyFill="1" applyBorder="1" applyAlignment="1">
      <alignment horizontal="center" vertical="center" wrapText="1"/>
    </xf>
    <xf numFmtId="0" fontId="61" fillId="46" borderId="147" xfId="17" applyFont="1" applyFill="1" applyBorder="1" applyAlignment="1">
      <alignment horizontal="center" vertical="center" wrapText="1"/>
    </xf>
    <xf numFmtId="0" fontId="61" fillId="5" borderId="7" xfId="17" applyFont="1" applyFill="1" applyBorder="1" applyAlignment="1">
      <alignment horizontal="center" vertical="center" wrapText="1"/>
    </xf>
    <xf numFmtId="0" fontId="61" fillId="5" borderId="22" xfId="17" applyFont="1" applyFill="1" applyBorder="1" applyAlignment="1">
      <alignment horizontal="center" vertical="center" wrapText="1"/>
    </xf>
    <xf numFmtId="0" fontId="61" fillId="5" borderId="23" xfId="17" applyFont="1" applyFill="1" applyBorder="1" applyAlignment="1">
      <alignment horizontal="center" vertical="center" wrapText="1"/>
    </xf>
    <xf numFmtId="0" fontId="62" fillId="10" borderId="74" xfId="17" applyFont="1" applyFill="1" applyBorder="1" applyAlignment="1">
      <alignment horizontal="left" wrapText="1"/>
    </xf>
    <xf numFmtId="0" fontId="62" fillId="10" borderId="75" xfId="17" applyFont="1" applyFill="1" applyBorder="1" applyAlignment="1">
      <alignment horizontal="left" wrapText="1"/>
    </xf>
    <xf numFmtId="0" fontId="62" fillId="0" borderId="74" xfId="17" applyFont="1" applyBorder="1" applyAlignment="1">
      <alignment horizontal="left" wrapText="1"/>
    </xf>
    <xf numFmtId="0" fontId="62" fillId="0" borderId="75" xfId="17" applyFont="1" applyBorder="1" applyAlignment="1">
      <alignment horizontal="left" wrapText="1"/>
    </xf>
    <xf numFmtId="0" fontId="61" fillId="4" borderId="69" xfId="17" applyFont="1" applyFill="1" applyBorder="1" applyAlignment="1">
      <alignment horizontal="center" vertical="center" wrapText="1"/>
    </xf>
    <xf numFmtId="0" fontId="61" fillId="4" borderId="74" xfId="17" applyFont="1" applyFill="1" applyBorder="1" applyAlignment="1">
      <alignment horizontal="center" vertical="center" wrapText="1"/>
    </xf>
    <xf numFmtId="0" fontId="61" fillId="4" borderId="75" xfId="17" applyFont="1" applyFill="1" applyBorder="1" applyAlignment="1">
      <alignment horizontal="center" vertical="center" wrapText="1"/>
    </xf>
    <xf numFmtId="0" fontId="61" fillId="4" borderId="76" xfId="17" applyFont="1" applyFill="1" applyBorder="1" applyAlignment="1">
      <alignment horizontal="center" vertical="center" wrapText="1"/>
    </xf>
    <xf numFmtId="0" fontId="63" fillId="0" borderId="69" xfId="3" applyFont="1" applyBorder="1" applyAlignment="1">
      <alignment horizontal="left" vertical="center" wrapText="1"/>
    </xf>
    <xf numFmtId="0" fontId="63" fillId="0" borderId="69" xfId="3" applyFont="1" applyBorder="1" applyAlignment="1">
      <alignment horizontal="center" vertical="center" wrapText="1"/>
    </xf>
    <xf numFmtId="0" fontId="70" fillId="3" borderId="69" xfId="17" applyFont="1" applyFill="1" applyBorder="1" applyAlignment="1">
      <alignment horizontal="center" wrapText="1"/>
    </xf>
    <xf numFmtId="0" fontId="61" fillId="5" borderId="154" xfId="17" applyFont="1" applyFill="1" applyBorder="1" applyAlignment="1">
      <alignment horizontal="center" vertical="center" wrapText="1"/>
    </xf>
    <xf numFmtId="0" fontId="61" fillId="5" borderId="105" xfId="17" applyFont="1" applyFill="1" applyBorder="1" applyAlignment="1">
      <alignment horizontal="center" vertical="center" wrapText="1"/>
    </xf>
    <xf numFmtId="0" fontId="61" fillId="5" borderId="11" xfId="17" applyFont="1" applyFill="1" applyBorder="1" applyAlignment="1">
      <alignment horizontal="center" vertical="center" wrapText="1"/>
    </xf>
    <xf numFmtId="0" fontId="31" fillId="10" borderId="75" xfId="17" applyFont="1" applyFill="1" applyBorder="1" applyAlignment="1">
      <alignment horizontal="left" wrapText="1"/>
    </xf>
    <xf numFmtId="0" fontId="70" fillId="10" borderId="74" xfId="17" applyFont="1" applyFill="1" applyBorder="1" applyAlignment="1">
      <alignment horizontal="left" wrapText="1"/>
    </xf>
    <xf numFmtId="0" fontId="70" fillId="10" borderId="75" xfId="17" applyFont="1" applyFill="1" applyBorder="1" applyAlignment="1">
      <alignment horizontal="left" wrapText="1"/>
    </xf>
    <xf numFmtId="0" fontId="61" fillId="4" borderId="74" xfId="17" applyFont="1" applyFill="1" applyBorder="1" applyAlignment="1">
      <alignment horizontal="center" wrapText="1"/>
    </xf>
    <xf numFmtId="0" fontId="61" fillId="4" borderId="75" xfId="17" applyFont="1" applyFill="1" applyBorder="1" applyAlignment="1">
      <alignment horizontal="center" wrapText="1"/>
    </xf>
    <xf numFmtId="0" fontId="61" fillId="41" borderId="154" xfId="17" applyFont="1" applyFill="1" applyBorder="1" applyAlignment="1">
      <alignment horizontal="center" vertical="center" wrapText="1"/>
    </xf>
    <xf numFmtId="0" fontId="61" fillId="41" borderId="7" xfId="17" applyFont="1" applyFill="1" applyBorder="1" applyAlignment="1">
      <alignment horizontal="center" vertical="center" wrapText="1"/>
    </xf>
    <xf numFmtId="0" fontId="61" fillId="41" borderId="147" xfId="17" applyFont="1" applyFill="1" applyBorder="1" applyAlignment="1">
      <alignment horizontal="center" vertical="center" wrapText="1"/>
    </xf>
    <xf numFmtId="0" fontId="61" fillId="5" borderId="147" xfId="17" applyFont="1" applyFill="1" applyBorder="1" applyAlignment="1">
      <alignment horizontal="center" vertical="center" wrapText="1"/>
    </xf>
    <xf numFmtId="0" fontId="90" fillId="0" borderId="154" xfId="17" applyFont="1" applyBorder="1" applyAlignment="1">
      <alignment horizontal="center" vertical="center" wrapText="1"/>
    </xf>
    <xf numFmtId="0" fontId="90" fillId="0" borderId="7" xfId="17" applyFont="1" applyBorder="1" applyAlignment="1">
      <alignment horizontal="center" vertical="center" wrapText="1"/>
    </xf>
    <xf numFmtId="0" fontId="61" fillId="6" borderId="18" xfId="3" applyFont="1" applyFill="1" applyBorder="1" applyAlignment="1">
      <alignment horizontal="center" vertical="center"/>
    </xf>
    <xf numFmtId="0" fontId="61" fillId="6" borderId="60" xfId="3" applyFont="1" applyFill="1" applyBorder="1" applyAlignment="1">
      <alignment horizontal="center" vertical="center"/>
    </xf>
    <xf numFmtId="0" fontId="61" fillId="6" borderId="63" xfId="3" applyFont="1" applyFill="1" applyBorder="1" applyAlignment="1">
      <alignment horizontal="center" vertical="center"/>
    </xf>
    <xf numFmtId="0" fontId="61" fillId="6" borderId="48" xfId="3" applyFont="1" applyFill="1" applyBorder="1" applyAlignment="1">
      <alignment horizontal="center" vertical="center"/>
    </xf>
    <xf numFmtId="0" fontId="61" fillId="6" borderId="135" xfId="3" applyFont="1" applyFill="1" applyBorder="1" applyAlignment="1">
      <alignment horizontal="center" vertical="center"/>
    </xf>
    <xf numFmtId="0" fontId="61" fillId="6" borderId="127" xfId="3" applyFont="1" applyFill="1" applyBorder="1" applyAlignment="1">
      <alignment horizontal="center" vertical="center"/>
    </xf>
    <xf numFmtId="3" fontId="72" fillId="6" borderId="18" xfId="17" applyNumberFormat="1" applyFont="1" applyFill="1" applyBorder="1" applyAlignment="1">
      <alignment horizontal="center" vertical="center" wrapText="1"/>
    </xf>
    <xf numFmtId="3" fontId="72" fillId="6" borderId="48" xfId="17" applyNumberFormat="1" applyFont="1" applyFill="1" applyBorder="1" applyAlignment="1">
      <alignment horizontal="center" vertical="center" wrapText="1"/>
    </xf>
    <xf numFmtId="3" fontId="72" fillId="6" borderId="60" xfId="17" applyNumberFormat="1" applyFont="1" applyFill="1" applyBorder="1" applyAlignment="1">
      <alignment horizontal="center" vertical="center" wrapText="1"/>
    </xf>
    <xf numFmtId="3" fontId="72" fillId="6" borderId="135" xfId="17" applyNumberFormat="1" applyFont="1" applyFill="1" applyBorder="1" applyAlignment="1">
      <alignment horizontal="center" vertical="center" wrapText="1"/>
    </xf>
    <xf numFmtId="3" fontId="72" fillId="6" borderId="93" xfId="17" applyNumberFormat="1" applyFont="1" applyFill="1" applyBorder="1" applyAlignment="1">
      <alignment horizontal="center" vertical="center" wrapText="1"/>
    </xf>
    <xf numFmtId="3" fontId="72" fillId="6" borderId="136" xfId="17" applyNumberFormat="1" applyFont="1" applyFill="1" applyBorder="1" applyAlignment="1">
      <alignment horizontal="center" vertical="center" wrapText="1"/>
    </xf>
    <xf numFmtId="10" fontId="72" fillId="6" borderId="18" xfId="16" applyNumberFormat="1" applyFont="1" applyFill="1" applyBorder="1" applyAlignment="1">
      <alignment horizontal="center" vertical="center" wrapText="1"/>
    </xf>
    <xf numFmtId="10" fontId="72" fillId="6" borderId="48" xfId="16" applyNumberFormat="1" applyFont="1" applyFill="1" applyBorder="1" applyAlignment="1">
      <alignment horizontal="center" vertical="center" wrapText="1"/>
    </xf>
    <xf numFmtId="10" fontId="72" fillId="6" borderId="60" xfId="16" applyNumberFormat="1" applyFont="1" applyFill="1" applyBorder="1" applyAlignment="1">
      <alignment horizontal="center" vertical="center" wrapText="1"/>
    </xf>
    <xf numFmtId="10" fontId="72" fillId="6" borderId="135" xfId="16" applyNumberFormat="1" applyFont="1" applyFill="1" applyBorder="1" applyAlignment="1">
      <alignment horizontal="center" vertical="center" wrapText="1"/>
    </xf>
    <xf numFmtId="10" fontId="72" fillId="6" borderId="93" xfId="16" applyNumberFormat="1" applyFont="1" applyFill="1" applyBorder="1" applyAlignment="1">
      <alignment horizontal="center" vertical="center" wrapText="1"/>
    </xf>
    <xf numFmtId="10" fontId="72" fillId="6" borderId="136" xfId="16" applyNumberFormat="1" applyFont="1" applyFill="1" applyBorder="1" applyAlignment="1">
      <alignment horizontal="center" vertical="center" wrapText="1"/>
    </xf>
    <xf numFmtId="0" fontId="61" fillId="46" borderId="163" xfId="17" applyFont="1" applyFill="1" applyBorder="1" applyAlignment="1">
      <alignment horizontal="center" vertical="center" wrapText="1"/>
    </xf>
    <xf numFmtId="0" fontId="61" fillId="46" borderId="22" xfId="17" applyFont="1" applyFill="1" applyBorder="1" applyAlignment="1">
      <alignment horizontal="center" vertical="center" wrapText="1"/>
    </xf>
    <xf numFmtId="0" fontId="61" fillId="46" borderId="23" xfId="17" applyFont="1" applyFill="1" applyBorder="1" applyAlignment="1">
      <alignment horizontal="center" vertical="center" wrapText="1"/>
    </xf>
    <xf numFmtId="0" fontId="61" fillId="5" borderId="163" xfId="17" applyFont="1" applyFill="1" applyBorder="1" applyAlignment="1">
      <alignment horizontal="center" vertical="center" wrapText="1"/>
    </xf>
    <xf numFmtId="0" fontId="90" fillId="0" borderId="147" xfId="17" applyFont="1" applyBorder="1" applyAlignment="1">
      <alignment horizontal="center" vertical="center" wrapText="1"/>
    </xf>
    <xf numFmtId="0" fontId="64" fillId="0" borderId="154" xfId="17" applyFont="1" applyBorder="1" applyAlignment="1">
      <alignment horizontal="center" vertical="center" wrapText="1"/>
    </xf>
    <xf numFmtId="0" fontId="64" fillId="0" borderId="7" xfId="17" applyFont="1" applyBorder="1" applyAlignment="1">
      <alignment horizontal="center" vertical="center" wrapText="1"/>
    </xf>
    <xf numFmtId="0" fontId="64" fillId="0" borderId="8" xfId="17" applyFont="1" applyBorder="1" applyAlignment="1">
      <alignment horizontal="center" vertical="center" wrapText="1"/>
    </xf>
    <xf numFmtId="0" fontId="64" fillId="0" borderId="0" xfId="17" applyFont="1" applyAlignment="1">
      <alignment horizontal="center" vertical="center" wrapText="1"/>
    </xf>
    <xf numFmtId="0" fontId="64" fillId="0" borderId="105" xfId="17" applyFont="1" applyBorder="1" applyAlignment="1">
      <alignment horizontal="center" vertical="center" wrapText="1"/>
    </xf>
    <xf numFmtId="0" fontId="64" fillId="0" borderId="11" xfId="17" applyFont="1" applyBorder="1" applyAlignment="1">
      <alignment horizontal="center" vertical="center" wrapText="1"/>
    </xf>
    <xf numFmtId="0" fontId="31" fillId="10" borderId="91" xfId="17" applyFont="1" applyFill="1" applyBorder="1" applyAlignment="1">
      <alignment horizontal="left" wrapText="1"/>
    </xf>
    <xf numFmtId="0" fontId="62" fillId="10" borderId="91" xfId="17" applyFont="1" applyFill="1" applyBorder="1" applyAlignment="1">
      <alignment horizontal="left" wrapText="1"/>
    </xf>
    <xf numFmtId="0" fontId="62" fillId="10" borderId="161" xfId="17" applyFont="1" applyFill="1" applyBorder="1" applyAlignment="1">
      <alignment horizontal="left" wrapText="1"/>
    </xf>
    <xf numFmtId="0" fontId="62" fillId="10" borderId="69" xfId="17" applyFont="1" applyFill="1" applyBorder="1" applyAlignment="1">
      <alignment horizontal="left" wrapText="1"/>
    </xf>
    <xf numFmtId="0" fontId="62" fillId="10" borderId="135" xfId="17" applyFont="1" applyFill="1" applyBorder="1" applyAlignment="1">
      <alignment horizontal="left" wrapText="1"/>
    </xf>
    <xf numFmtId="0" fontId="62" fillId="10" borderId="127" xfId="17" applyFont="1" applyFill="1" applyBorder="1" applyAlignment="1">
      <alignment horizontal="left" wrapText="1"/>
    </xf>
    <xf numFmtId="0" fontId="61" fillId="6" borderId="90" xfId="3" applyFont="1" applyFill="1" applyBorder="1" applyAlignment="1">
      <alignment horizontal="center" vertical="center"/>
    </xf>
    <xf numFmtId="0" fontId="61" fillId="6" borderId="91" xfId="3" applyFont="1" applyFill="1" applyBorder="1" applyAlignment="1">
      <alignment horizontal="center" vertical="center"/>
    </xf>
    <xf numFmtId="0" fontId="61" fillId="6" borderId="161" xfId="3" applyFont="1" applyFill="1" applyBorder="1" applyAlignment="1">
      <alignment horizontal="center" vertical="center"/>
    </xf>
    <xf numFmtId="3" fontId="72" fillId="6" borderId="90" xfId="17" applyNumberFormat="1" applyFont="1" applyFill="1" applyBorder="1" applyAlignment="1">
      <alignment horizontal="center" vertical="center" wrapText="1"/>
    </xf>
    <xf numFmtId="3" fontId="72" fillId="6" borderId="91" xfId="17" applyNumberFormat="1" applyFont="1" applyFill="1" applyBorder="1" applyAlignment="1">
      <alignment horizontal="center" vertical="center" wrapText="1"/>
    </xf>
    <xf numFmtId="3" fontId="72" fillId="6" borderId="92" xfId="17" applyNumberFormat="1" applyFont="1" applyFill="1" applyBorder="1" applyAlignment="1">
      <alignment horizontal="center" vertical="center" wrapText="1"/>
    </xf>
    <xf numFmtId="10" fontId="72" fillId="6" borderId="90" xfId="16" applyNumberFormat="1" applyFont="1" applyFill="1" applyBorder="1" applyAlignment="1">
      <alignment horizontal="center" vertical="center" wrapText="1"/>
    </xf>
    <xf numFmtId="10" fontId="72" fillId="6" borderId="91" xfId="16" applyNumberFormat="1" applyFont="1" applyFill="1" applyBorder="1" applyAlignment="1">
      <alignment horizontal="center" vertical="center" wrapText="1"/>
    </xf>
    <xf numFmtId="10" fontId="72" fillId="6" borderId="92" xfId="16" applyNumberFormat="1" applyFont="1" applyFill="1" applyBorder="1" applyAlignment="1">
      <alignment horizontal="center" vertical="center" wrapText="1"/>
    </xf>
    <xf numFmtId="0" fontId="61" fillId="6" borderId="164" xfId="0" applyFont="1" applyFill="1" applyBorder="1" applyAlignment="1">
      <alignment horizontal="center" vertical="center"/>
    </xf>
    <xf numFmtId="0" fontId="61" fillId="6" borderId="20" xfId="0" applyFont="1" applyFill="1" applyBorder="1" applyAlignment="1">
      <alignment horizontal="center" vertical="center"/>
    </xf>
    <xf numFmtId="0" fontId="61" fillId="6" borderId="154" xfId="0" applyFont="1" applyFill="1" applyBorder="1" applyAlignment="1">
      <alignment horizontal="center" vertical="center"/>
    </xf>
    <xf numFmtId="0" fontId="61" fillId="6" borderId="105" xfId="0" applyFont="1" applyFill="1" applyBorder="1" applyAlignment="1">
      <alignment horizontal="center" vertical="center"/>
    </xf>
    <xf numFmtId="0" fontId="61" fillId="6" borderId="105" xfId="0" applyFont="1" applyFill="1" applyBorder="1" applyAlignment="1">
      <alignment horizontal="center"/>
    </xf>
    <xf numFmtId="0" fontId="61" fillId="6" borderId="11" xfId="0" applyFont="1" applyFill="1" applyBorder="1" applyAlignment="1">
      <alignment horizontal="center"/>
    </xf>
    <xf numFmtId="0" fontId="61" fillId="6" borderId="111" xfId="0" applyFont="1" applyFill="1" applyBorder="1" applyAlignment="1">
      <alignment horizontal="center"/>
    </xf>
    <xf numFmtId="0" fontId="61" fillId="6" borderId="110" xfId="0" applyFont="1" applyFill="1" applyBorder="1" applyAlignment="1">
      <alignment horizontal="center"/>
    </xf>
    <xf numFmtId="0" fontId="61" fillId="6" borderId="113" xfId="0" applyFont="1" applyFill="1" applyBorder="1" applyAlignment="1">
      <alignment horizontal="center"/>
    </xf>
    <xf numFmtId="0" fontId="61" fillId="6" borderId="112" xfId="0" applyFont="1" applyFill="1" applyBorder="1" applyAlignment="1">
      <alignment horizontal="center" vertical="center"/>
    </xf>
    <xf numFmtId="0" fontId="61" fillId="6" borderId="115" xfId="0" applyFont="1" applyFill="1" applyBorder="1" applyAlignment="1">
      <alignment horizontal="center" vertical="center"/>
    </xf>
    <xf numFmtId="0" fontId="72" fillId="6" borderId="163" xfId="0" applyFont="1" applyFill="1" applyBorder="1" applyAlignment="1">
      <alignment horizontal="center"/>
    </xf>
    <xf numFmtId="0" fontId="72" fillId="6" borderId="22" xfId="0" applyFont="1" applyFill="1" applyBorder="1" applyAlignment="1">
      <alignment horizontal="center"/>
    </xf>
    <xf numFmtId="0" fontId="72" fillId="6" borderId="23" xfId="0" applyFont="1" applyFill="1" applyBorder="1" applyAlignment="1">
      <alignment horizontal="center"/>
    </xf>
    <xf numFmtId="0" fontId="61" fillId="6" borderId="114" xfId="0" applyFont="1" applyFill="1" applyBorder="1" applyAlignment="1">
      <alignment horizontal="center" vertical="center"/>
    </xf>
    <xf numFmtId="0" fontId="61" fillId="6" borderId="154" xfId="0" applyFont="1" applyFill="1" applyBorder="1" applyAlignment="1">
      <alignment horizontal="center"/>
    </xf>
    <xf numFmtId="0" fontId="61" fillId="6" borderId="7" xfId="0" applyFont="1" applyFill="1" applyBorder="1" applyAlignment="1">
      <alignment horizontal="center"/>
    </xf>
    <xf numFmtId="0" fontId="61" fillId="6" borderId="147" xfId="0" applyFont="1" applyFill="1" applyBorder="1" applyAlignment="1">
      <alignment horizontal="center"/>
    </xf>
    <xf numFmtId="0" fontId="72" fillId="6" borderId="102" xfId="0" applyFont="1" applyFill="1" applyBorder="1" applyAlignment="1">
      <alignment horizontal="center" vertical="center"/>
    </xf>
    <xf numFmtId="0" fontId="72" fillId="6" borderId="106" xfId="0" applyFont="1" applyFill="1" applyBorder="1" applyAlignment="1">
      <alignment horizontal="center" vertical="center"/>
    </xf>
    <xf numFmtId="0" fontId="72" fillId="6" borderId="91" xfId="0" applyFont="1" applyFill="1" applyBorder="1" applyAlignment="1">
      <alignment horizontal="center" vertical="center"/>
    </xf>
    <xf numFmtId="0" fontId="72" fillId="6" borderId="92" xfId="0" applyFont="1" applyFill="1" applyBorder="1" applyAlignment="1">
      <alignment horizontal="center" vertical="center"/>
    </xf>
    <xf numFmtId="0" fontId="72" fillId="55" borderId="90" xfId="0" applyFont="1" applyFill="1" applyBorder="1" applyAlignment="1">
      <alignment horizontal="center" vertical="center"/>
    </xf>
    <xf numFmtId="0" fontId="72" fillId="55" borderId="91" xfId="0" applyFont="1" applyFill="1" applyBorder="1" applyAlignment="1">
      <alignment horizontal="center" vertical="center"/>
    </xf>
    <xf numFmtId="0" fontId="72" fillId="55" borderId="48" xfId="0" applyFont="1" applyFill="1" applyBorder="1" applyAlignment="1">
      <alignment horizontal="center" vertical="center"/>
    </xf>
    <xf numFmtId="0" fontId="72" fillId="55" borderId="135" xfId="0" applyFont="1" applyFill="1" applyBorder="1" applyAlignment="1">
      <alignment horizontal="center" vertical="center"/>
    </xf>
    <xf numFmtId="0" fontId="72" fillId="6" borderId="91" xfId="0" applyFont="1" applyFill="1" applyBorder="1" applyAlignment="1">
      <alignment horizontal="center" vertical="center" wrapText="1"/>
    </xf>
    <xf numFmtId="0" fontId="72" fillId="6" borderId="135" xfId="0" applyFont="1" applyFill="1" applyBorder="1" applyAlignment="1">
      <alignment horizontal="center" vertical="center" wrapText="1"/>
    </xf>
    <xf numFmtId="0" fontId="72" fillId="6" borderId="135" xfId="0" applyFont="1" applyFill="1" applyBorder="1" applyAlignment="1">
      <alignment horizontal="center" vertical="center"/>
    </xf>
    <xf numFmtId="0" fontId="72" fillId="6" borderId="90" xfId="0" applyFont="1" applyFill="1" applyBorder="1" applyAlignment="1">
      <alignment horizontal="center" vertical="center"/>
    </xf>
    <xf numFmtId="0" fontId="72" fillId="6" borderId="48" xfId="0" applyFont="1" applyFill="1" applyBorder="1" applyAlignment="1">
      <alignment horizontal="center" vertical="center"/>
    </xf>
    <xf numFmtId="0" fontId="61" fillId="6" borderId="90"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61" fillId="6" borderId="91" xfId="0" applyFont="1" applyFill="1" applyBorder="1" applyAlignment="1">
      <alignment horizontal="center" vertical="center"/>
    </xf>
    <xf numFmtId="0" fontId="61" fillId="6" borderId="92" xfId="0" applyFont="1" applyFill="1" applyBorder="1" applyAlignment="1">
      <alignment horizontal="center" vertical="center"/>
    </xf>
    <xf numFmtId="0" fontId="72" fillId="6" borderId="161" xfId="0" applyFont="1" applyFill="1" applyBorder="1" applyAlignment="1">
      <alignment horizontal="center" vertical="center" wrapText="1"/>
    </xf>
    <xf numFmtId="0" fontId="72" fillId="6" borderId="162" xfId="0" applyFont="1" applyFill="1" applyBorder="1" applyAlignment="1">
      <alignment horizontal="center" vertical="center" wrapText="1"/>
    </xf>
    <xf numFmtId="0" fontId="61" fillId="6" borderId="135" xfId="0" applyFont="1" applyFill="1" applyBorder="1" applyAlignment="1">
      <alignment horizontal="center" vertical="center"/>
    </xf>
    <xf numFmtId="0" fontId="61" fillId="6" borderId="91" xfId="0" applyFont="1" applyFill="1" applyBorder="1" applyAlignment="1">
      <alignment horizontal="center"/>
    </xf>
    <xf numFmtId="0" fontId="61" fillId="55" borderId="174" xfId="1" applyNumberFormat="1" applyFont="1" applyFill="1" applyBorder="1" applyAlignment="1">
      <alignment horizontal="center" vertical="center" wrapText="1"/>
    </xf>
    <xf numFmtId="0" fontId="61" fillId="55" borderId="212" xfId="1" applyNumberFormat="1" applyFont="1" applyFill="1" applyBorder="1" applyAlignment="1">
      <alignment horizontal="center" vertical="center" wrapText="1"/>
    </xf>
    <xf numFmtId="0" fontId="61" fillId="55" borderId="96" xfId="1" applyNumberFormat="1" applyFont="1" applyFill="1" applyBorder="1" applyAlignment="1">
      <alignment horizontal="center" vertical="center" wrapText="1"/>
    </xf>
    <xf numFmtId="0" fontId="61" fillId="55" borderId="91" xfId="1" applyNumberFormat="1" applyFont="1" applyFill="1" applyBorder="1" applyAlignment="1">
      <alignment horizontal="center" vertical="center" wrapText="1"/>
    </xf>
    <xf numFmtId="0" fontId="61" fillId="55" borderId="202" xfId="1" applyNumberFormat="1" applyFont="1" applyFill="1" applyBorder="1" applyAlignment="1">
      <alignment horizontal="center" vertical="center" wrapText="1"/>
    </xf>
    <xf numFmtId="0" fontId="61" fillId="55" borderId="135" xfId="1" applyNumberFormat="1" applyFont="1" applyFill="1" applyBorder="1" applyAlignment="1">
      <alignment horizontal="center" vertical="center" wrapText="1"/>
    </xf>
    <xf numFmtId="0" fontId="61" fillId="55" borderId="161" xfId="0" applyFont="1" applyFill="1" applyBorder="1" applyAlignment="1">
      <alignment horizontal="center"/>
    </xf>
    <xf numFmtId="0" fontId="61" fillId="55" borderId="160" xfId="0" applyFont="1" applyFill="1" applyBorder="1" applyAlignment="1">
      <alignment horizontal="center"/>
    </xf>
    <xf numFmtId="0" fontId="61" fillId="55" borderId="162" xfId="0" applyFont="1" applyFill="1" applyBorder="1" applyAlignment="1">
      <alignment horizontal="center"/>
    </xf>
    <xf numFmtId="0" fontId="61" fillId="55" borderId="161" xfId="0" applyFont="1" applyFill="1" applyBorder="1" applyAlignment="1">
      <alignment horizontal="center" vertical="center"/>
    </xf>
    <xf numFmtId="0" fontId="61" fillId="55" borderId="160" xfId="0" applyFont="1" applyFill="1" applyBorder="1" applyAlignment="1">
      <alignment horizontal="center" vertical="center"/>
    </xf>
    <xf numFmtId="0" fontId="61" fillId="55" borderId="158" xfId="0" applyFont="1" applyFill="1" applyBorder="1" applyAlignment="1">
      <alignment horizontal="center" vertical="center"/>
    </xf>
    <xf numFmtId="43" fontId="61" fillId="55" borderId="206" xfId="1" applyFont="1" applyFill="1" applyBorder="1" applyAlignment="1">
      <alignment horizontal="center" vertical="center" wrapText="1"/>
    </xf>
    <xf numFmtId="43" fontId="61" fillId="55" borderId="152" xfId="1" applyFont="1" applyFill="1" applyBorder="1" applyAlignment="1">
      <alignment horizontal="center" vertical="center" wrapText="1"/>
    </xf>
    <xf numFmtId="43" fontId="61" fillId="55" borderId="175" xfId="1" applyFont="1" applyFill="1" applyBorder="1" applyAlignment="1">
      <alignment horizontal="center" vertical="center" wrapText="1"/>
    </xf>
    <xf numFmtId="43" fontId="61" fillId="55" borderId="3" xfId="1" applyFont="1" applyFill="1" applyBorder="1" applyAlignment="1">
      <alignment horizontal="center" vertical="center" wrapText="1"/>
    </xf>
    <xf numFmtId="43" fontId="61" fillId="55" borderId="213" xfId="1" applyFont="1" applyFill="1" applyBorder="1" applyAlignment="1">
      <alignment horizontal="center" vertical="center" wrapText="1"/>
    </xf>
    <xf numFmtId="43" fontId="61" fillId="55" borderId="104" xfId="1" applyFont="1" applyFill="1" applyBorder="1" applyAlignment="1">
      <alignment horizontal="center" vertical="center" wrapText="1"/>
    </xf>
    <xf numFmtId="43" fontId="61" fillId="55" borderId="164" xfId="1" applyFont="1" applyFill="1" applyBorder="1" applyAlignment="1">
      <alignment horizontal="center" vertical="center" wrapText="1"/>
    </xf>
    <xf numFmtId="43" fontId="61" fillId="55" borderId="20" xfId="1" applyFont="1" applyFill="1" applyBorder="1" applyAlignment="1">
      <alignment horizontal="center" vertical="center" wrapText="1"/>
    </xf>
    <xf numFmtId="0" fontId="64" fillId="64" borderId="14" xfId="0" applyFont="1" applyFill="1" applyBorder="1" applyAlignment="1">
      <alignment horizontal="center" vertical="center"/>
    </xf>
    <xf numFmtId="0" fontId="64" fillId="64" borderId="16" xfId="0" applyFont="1" applyFill="1" applyBorder="1" applyAlignment="1">
      <alignment horizontal="center" vertical="center"/>
    </xf>
    <xf numFmtId="0" fontId="61" fillId="28" borderId="0" xfId="0" applyFont="1" applyFill="1" applyAlignment="1">
      <alignment horizontal="center"/>
    </xf>
    <xf numFmtId="0" fontId="61" fillId="6" borderId="0" xfId="0" applyFont="1" applyFill="1" applyAlignment="1">
      <alignment horizontal="center" vertical="center"/>
    </xf>
    <xf numFmtId="0" fontId="61" fillId="6" borderId="0" xfId="0" applyFont="1" applyFill="1" applyAlignment="1">
      <alignment horizontal="center"/>
    </xf>
    <xf numFmtId="0" fontId="63" fillId="0" borderId="8" xfId="0" applyFont="1" applyBorder="1" applyAlignment="1">
      <alignment horizontal="center" vertical="center" wrapText="1"/>
    </xf>
    <xf numFmtId="0" fontId="63" fillId="0" borderId="0" xfId="0" applyFont="1" applyAlignment="1">
      <alignment vertical="center" wrapText="1"/>
    </xf>
    <xf numFmtId="0" fontId="64" fillId="39" borderId="80" xfId="0" applyFont="1" applyFill="1" applyBorder="1" applyAlignment="1">
      <alignment horizontal="center" vertical="center"/>
    </xf>
    <xf numFmtId="0" fontId="63" fillId="0" borderId="0" xfId="0" applyFont="1" applyAlignment="1">
      <alignment horizontal="left" vertical="center" wrapText="1"/>
    </xf>
    <xf numFmtId="0" fontId="63" fillId="0" borderId="11" xfId="0" applyFont="1" applyBorder="1" applyAlignment="1">
      <alignment horizontal="left" vertical="center" wrapText="1"/>
    </xf>
    <xf numFmtId="0" fontId="63" fillId="0" borderId="105" xfId="0" applyFont="1" applyBorder="1" applyAlignment="1">
      <alignment horizontal="center" vertical="center" wrapText="1"/>
    </xf>
    <xf numFmtId="0" fontId="63" fillId="0" borderId="7" xfId="0" applyFont="1" applyBorder="1" applyAlignment="1">
      <alignment vertical="center" wrapText="1"/>
    </xf>
    <xf numFmtId="0" fontId="63" fillId="0" borderId="154" xfId="0" applyFont="1" applyBorder="1" applyAlignment="1">
      <alignment horizontal="center" vertical="center" wrapText="1"/>
    </xf>
    <xf numFmtId="0" fontId="63" fillId="0" borderId="201" xfId="0" applyFont="1" applyBorder="1" applyAlignment="1">
      <alignment horizontal="center" vertical="center" wrapText="1"/>
    </xf>
    <xf numFmtId="0" fontId="63" fillId="0" borderId="0" xfId="0" applyFont="1" applyAlignment="1">
      <alignment horizontal="left" vertical="center"/>
    </xf>
    <xf numFmtId="0" fontId="63" fillId="0" borderId="11" xfId="0" applyFont="1" applyBorder="1" applyAlignment="1">
      <alignment horizontal="left" vertical="center"/>
    </xf>
    <xf numFmtId="0" fontId="63" fillId="0" borderId="7" xfId="0" applyFont="1" applyBorder="1" applyAlignment="1">
      <alignment horizontal="left" vertical="center"/>
    </xf>
    <xf numFmtId="0" fontId="61" fillId="6" borderId="69" xfId="58" applyFont="1" applyFill="1" applyBorder="1" applyAlignment="1">
      <alignment horizontal="center" vertical="center" wrapText="1"/>
    </xf>
    <xf numFmtId="0" fontId="61" fillId="6" borderId="76" xfId="58" applyFont="1" applyFill="1" applyBorder="1" applyAlignment="1">
      <alignment horizontal="center" vertical="center" wrapText="1"/>
    </xf>
    <xf numFmtId="0" fontId="61" fillId="6" borderId="0" xfId="44" applyFont="1" applyFill="1" applyAlignment="1">
      <alignment horizontal="left"/>
    </xf>
    <xf numFmtId="0" fontId="63" fillId="6" borderId="0" xfId="44" applyFont="1" applyFill="1" applyAlignment="1">
      <alignment horizontal="left"/>
    </xf>
    <xf numFmtId="0" fontId="61" fillId="22" borderId="0" xfId="44" applyFont="1" applyFill="1" applyAlignment="1">
      <alignment horizontal="left"/>
    </xf>
    <xf numFmtId="0" fontId="63" fillId="22" borderId="0" xfId="44" applyFont="1" applyFill="1" applyAlignment="1">
      <alignment horizontal="left"/>
    </xf>
    <xf numFmtId="0" fontId="62" fillId="0" borderId="69" xfId="3" applyFont="1" applyBorder="1" applyAlignment="1">
      <alignment horizontal="center" vertical="top"/>
    </xf>
    <xf numFmtId="0" fontId="62" fillId="0" borderId="69" xfId="3" applyFont="1" applyBorder="1" applyAlignment="1">
      <alignment horizontal="left" vertical="top"/>
    </xf>
    <xf numFmtId="0" fontId="62" fillId="0" borderId="15" xfId="3" applyFont="1" applyBorder="1" applyAlignment="1">
      <alignment horizontal="center" vertical="center"/>
    </xf>
    <xf numFmtId="0" fontId="62" fillId="0" borderId="16" xfId="3" applyFont="1" applyBorder="1" applyAlignment="1">
      <alignment horizontal="center" vertical="center"/>
    </xf>
    <xf numFmtId="0" fontId="62" fillId="0" borderId="63" xfId="3" applyFont="1" applyBorder="1" applyAlignment="1">
      <alignment horizontal="center" vertical="center"/>
    </xf>
    <xf numFmtId="0" fontId="62" fillId="0" borderId="61" xfId="3" applyFont="1" applyBorder="1" applyAlignment="1">
      <alignment horizontal="center" vertical="center"/>
    </xf>
    <xf numFmtId="0" fontId="63" fillId="0" borderId="71" xfId="0" applyFont="1" applyBorder="1" applyAlignment="1">
      <alignment horizontal="center" vertical="center"/>
    </xf>
    <xf numFmtId="0" fontId="63" fillId="0" borderId="2" xfId="0" applyFont="1" applyBorder="1" applyAlignment="1">
      <alignment horizontal="center" vertical="center"/>
    </xf>
    <xf numFmtId="0" fontId="63" fillId="0" borderId="71" xfId="0" applyFont="1" applyBorder="1" applyAlignment="1">
      <alignment horizontal="center" vertical="top" wrapText="1"/>
    </xf>
    <xf numFmtId="0" fontId="63" fillId="0" borderId="2" xfId="0" applyFont="1" applyBorder="1" applyAlignment="1">
      <alignment horizontal="center" vertical="top" wrapText="1"/>
    </xf>
    <xf numFmtId="0" fontId="63" fillId="0" borderId="15" xfId="0" applyFont="1" applyBorder="1" applyAlignment="1">
      <alignment horizontal="left" vertical="center" wrapText="1"/>
    </xf>
    <xf numFmtId="0" fontId="63" fillId="0" borderId="14" xfId="0" applyFont="1" applyBorder="1" applyAlignment="1">
      <alignment horizontal="left" vertical="center" wrapText="1"/>
    </xf>
    <xf numFmtId="0" fontId="63" fillId="0" borderId="71"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117" xfId="0" applyFont="1" applyBorder="1" applyAlignment="1">
      <alignment horizontal="center" vertical="center"/>
    </xf>
    <xf numFmtId="0" fontId="63" fillId="0" borderId="118" xfId="0" applyFont="1" applyBorder="1" applyAlignment="1">
      <alignment horizontal="center" vertical="center"/>
    </xf>
    <xf numFmtId="166" fontId="63" fillId="24" borderId="120" xfId="0" applyNumberFormat="1" applyFont="1" applyFill="1" applyBorder="1" applyAlignment="1">
      <alignment horizontal="center" vertical="center"/>
    </xf>
    <xf numFmtId="0" fontId="63" fillId="24" borderId="121" xfId="0" applyFont="1" applyFill="1" applyBorder="1" applyAlignment="1">
      <alignment horizontal="center" vertical="center"/>
    </xf>
    <xf numFmtId="0" fontId="63" fillId="52" borderId="120" xfId="0" applyFont="1" applyFill="1" applyBorder="1" applyAlignment="1">
      <alignment horizontal="center" vertical="center"/>
    </xf>
    <xf numFmtId="0" fontId="63" fillId="52" borderId="121" xfId="0" applyFont="1" applyFill="1" applyBorder="1" applyAlignment="1">
      <alignment horizontal="center" vertical="center"/>
    </xf>
    <xf numFmtId="0" fontId="63" fillId="0" borderId="74" xfId="0" applyFont="1" applyBorder="1" applyAlignment="1">
      <alignment horizontal="left" vertical="center" wrapText="1"/>
    </xf>
    <xf numFmtId="0" fontId="63" fillId="0" borderId="75" xfId="0" applyFont="1" applyBorder="1" applyAlignment="1">
      <alignment horizontal="left" vertical="center" wrapText="1"/>
    </xf>
    <xf numFmtId="0" fontId="63" fillId="0" borderId="76" xfId="0" applyFont="1" applyBorder="1" applyAlignment="1">
      <alignment horizontal="left" vertical="center" wrapText="1"/>
    </xf>
    <xf numFmtId="178" fontId="63" fillId="0" borderId="120" xfId="0" applyNumberFormat="1" applyFont="1" applyBorder="1" applyAlignment="1">
      <alignment horizontal="right" vertical="center"/>
    </xf>
    <xf numFmtId="178" fontId="63" fillId="0" borderId="121" xfId="0" applyNumberFormat="1" applyFont="1" applyBorder="1" applyAlignment="1">
      <alignment horizontal="right" vertical="center"/>
    </xf>
    <xf numFmtId="0" fontId="63" fillId="0" borderId="15" xfId="0" applyFont="1" applyBorder="1" applyAlignment="1">
      <alignment horizontal="center" vertical="center"/>
    </xf>
    <xf numFmtId="0" fontId="63" fillId="0" borderId="16" xfId="0" applyFont="1" applyBorder="1" applyAlignment="1">
      <alignment horizontal="center" vertical="center"/>
    </xf>
    <xf numFmtId="0" fontId="63" fillId="0" borderId="63" xfId="0" applyFont="1" applyBorder="1" applyAlignment="1">
      <alignment horizontal="center" vertical="center" wrapText="1"/>
    </xf>
    <xf numFmtId="0" fontId="63" fillId="0" borderId="61" xfId="0" applyFont="1" applyBorder="1" applyAlignment="1">
      <alignment horizontal="center" vertical="center" wrapText="1"/>
    </xf>
    <xf numFmtId="17" fontId="63" fillId="0" borderId="63" xfId="0" applyNumberFormat="1" applyFont="1" applyBorder="1" applyAlignment="1">
      <alignment horizontal="center" vertical="center" wrapText="1"/>
    </xf>
    <xf numFmtId="17" fontId="63" fillId="0" borderId="61" xfId="0" applyNumberFormat="1" applyFont="1" applyBorder="1" applyAlignment="1">
      <alignment horizontal="center" vertical="center" wrapText="1"/>
    </xf>
    <xf numFmtId="169" fontId="63" fillId="0" borderId="124" xfId="0" quotePrefix="1" applyNumberFormat="1" applyFont="1" applyBorder="1" applyAlignment="1">
      <alignment horizontal="right" vertical="center"/>
    </xf>
    <xf numFmtId="169" fontId="63" fillId="0" borderId="125" xfId="0" quotePrefix="1" applyNumberFormat="1" applyFont="1" applyBorder="1" applyAlignment="1">
      <alignment horizontal="right" vertical="center"/>
    </xf>
    <xf numFmtId="0" fontId="63" fillId="0" borderId="14" xfId="0" applyFont="1" applyBorder="1" applyAlignment="1">
      <alignment horizontal="left" vertical="center"/>
    </xf>
    <xf numFmtId="170" fontId="63" fillId="24" borderId="120" xfId="0" applyNumberFormat="1" applyFont="1" applyFill="1" applyBorder="1" applyAlignment="1">
      <alignment horizontal="center" vertical="center"/>
    </xf>
    <xf numFmtId="170" fontId="63" fillId="24" borderId="121" xfId="0" applyNumberFormat="1" applyFont="1" applyFill="1" applyBorder="1" applyAlignment="1">
      <alignment horizontal="center" vertical="center"/>
    </xf>
    <xf numFmtId="0" fontId="63" fillId="0" borderId="75" xfId="0" applyFont="1" applyBorder="1" applyAlignment="1">
      <alignment horizontal="left" vertical="center"/>
    </xf>
    <xf numFmtId="0" fontId="63" fillId="0" borderId="76" xfId="0" applyFont="1" applyBorder="1" applyAlignment="1">
      <alignment horizontal="left" vertical="center"/>
    </xf>
    <xf numFmtId="0" fontId="63" fillId="0" borderId="120" xfId="0" applyFont="1" applyBorder="1" applyAlignment="1">
      <alignment horizontal="left" vertical="center"/>
    </xf>
    <xf numFmtId="0" fontId="63" fillId="0" borderId="190" xfId="0" applyFont="1" applyBorder="1" applyAlignment="1">
      <alignment horizontal="left" vertical="center"/>
    </xf>
    <xf numFmtId="0" fontId="63" fillId="0" borderId="121" xfId="0" applyFont="1" applyBorder="1" applyAlignment="1">
      <alignment horizontal="left" vertical="center"/>
    </xf>
    <xf numFmtId="2" fontId="63" fillId="0" borderId="74" xfId="0" applyNumberFormat="1" applyFont="1" applyBorder="1" applyAlignment="1">
      <alignment horizontal="left" vertical="center"/>
    </xf>
    <xf numFmtId="2" fontId="63" fillId="0" borderId="75" xfId="0" applyNumberFormat="1" applyFont="1" applyBorder="1" applyAlignment="1">
      <alignment horizontal="left" vertical="center"/>
    </xf>
    <xf numFmtId="2" fontId="63" fillId="0" borderId="76" xfId="0" applyNumberFormat="1" applyFont="1" applyBorder="1" applyAlignment="1">
      <alignment horizontal="left" vertical="center"/>
    </xf>
    <xf numFmtId="0" fontId="128" fillId="0" borderId="69" xfId="0" applyFont="1" applyBorder="1" applyAlignment="1">
      <alignment horizontal="center" vertical="center"/>
    </xf>
    <xf numFmtId="0" fontId="127" fillId="51" borderId="74" xfId="0" applyFont="1" applyFill="1" applyBorder="1" applyAlignment="1">
      <alignment horizontal="left"/>
    </xf>
    <xf numFmtId="0" fontId="127" fillId="51" borderId="75" xfId="0" applyFont="1" applyFill="1" applyBorder="1" applyAlignment="1">
      <alignment horizontal="left"/>
    </xf>
    <xf numFmtId="0" fontId="127" fillId="51" borderId="76" xfId="0" applyFont="1" applyFill="1" applyBorder="1" applyAlignment="1">
      <alignment horizontal="left"/>
    </xf>
    <xf numFmtId="0" fontId="63" fillId="0" borderId="120" xfId="0" applyFont="1" applyBorder="1" applyAlignment="1">
      <alignment horizontal="center" vertical="center"/>
    </xf>
    <xf numFmtId="0" fontId="63" fillId="0" borderId="121" xfId="0" applyFont="1" applyBorder="1" applyAlignment="1">
      <alignment horizontal="center" vertical="center"/>
    </xf>
    <xf numFmtId="0" fontId="63" fillId="49" borderId="71" xfId="0" applyFont="1" applyFill="1" applyBorder="1" applyAlignment="1">
      <alignment horizontal="center" vertical="center"/>
    </xf>
    <xf numFmtId="0" fontId="63" fillId="49" borderId="2" xfId="0" applyFont="1" applyFill="1" applyBorder="1" applyAlignment="1">
      <alignment horizontal="center" vertical="center"/>
    </xf>
    <xf numFmtId="0" fontId="131" fillId="0" borderId="69" xfId="0" applyFont="1" applyBorder="1" applyAlignment="1">
      <alignment horizontal="left" vertical="center" wrapText="1"/>
    </xf>
    <xf numFmtId="0" fontId="128" fillId="49" borderId="15" xfId="0" applyFont="1" applyFill="1" applyBorder="1" applyAlignment="1">
      <alignment horizontal="center" vertical="center"/>
    </xf>
    <xf numFmtId="0" fontId="128" fillId="49" borderId="14" xfId="0" applyFont="1" applyFill="1" applyBorder="1" applyAlignment="1">
      <alignment horizontal="center" vertical="center"/>
    </xf>
    <xf numFmtId="0" fontId="128" fillId="49" borderId="16" xfId="0" applyFont="1" applyFill="1" applyBorder="1" applyAlignment="1">
      <alignment horizontal="center" vertical="center"/>
    </xf>
    <xf numFmtId="0" fontId="128" fillId="0" borderId="74" xfId="0" applyFont="1" applyBorder="1" applyAlignment="1">
      <alignment horizontal="center" vertical="center" wrapText="1"/>
    </xf>
    <xf numFmtId="0" fontId="128" fillId="0" borderId="76" xfId="0" applyFont="1" applyBorder="1" applyAlignment="1">
      <alignment horizontal="center" vertical="center" wrapText="1"/>
    </xf>
    <xf numFmtId="0" fontId="131" fillId="0" borderId="74" xfId="0" applyFont="1" applyBorder="1" applyAlignment="1">
      <alignment horizontal="left"/>
    </xf>
    <xf numFmtId="0" fontId="131" fillId="0" borderId="75" xfId="0" applyFont="1" applyBorder="1" applyAlignment="1">
      <alignment horizontal="left"/>
    </xf>
    <xf numFmtId="0" fontId="131" fillId="0" borderId="76" xfId="0" applyFont="1" applyBorder="1" applyAlignment="1">
      <alignment horizontal="left"/>
    </xf>
    <xf numFmtId="0" fontId="133" fillId="0" borderId="74" xfId="0" applyFont="1" applyBorder="1" applyAlignment="1">
      <alignment horizontal="left"/>
    </xf>
    <xf numFmtId="0" fontId="133" fillId="0" borderId="75" xfId="0" applyFont="1" applyBorder="1" applyAlignment="1">
      <alignment horizontal="left"/>
    </xf>
    <xf numFmtId="0" fontId="133" fillId="0" borderId="76" xfId="0" applyFont="1" applyBorder="1" applyAlignment="1">
      <alignment horizontal="left"/>
    </xf>
    <xf numFmtId="0" fontId="133" fillId="0" borderId="74" xfId="0" applyFont="1" applyBorder="1" applyAlignment="1">
      <alignment horizontal="left" vertical="center" wrapText="1"/>
    </xf>
    <xf numFmtId="0" fontId="133" fillId="0" borderId="75" xfId="0" applyFont="1" applyBorder="1" applyAlignment="1">
      <alignment horizontal="left" vertical="center" wrapText="1"/>
    </xf>
    <xf numFmtId="0" fontId="133" fillId="0" borderId="76" xfId="0" applyFont="1" applyBorder="1" applyAlignment="1">
      <alignment horizontal="left" vertical="center" wrapText="1"/>
    </xf>
    <xf numFmtId="0" fontId="128" fillId="0" borderId="15" xfId="0" applyFont="1" applyBorder="1" applyAlignment="1">
      <alignment horizontal="center" vertical="center" wrapText="1"/>
    </xf>
    <xf numFmtId="0" fontId="128" fillId="0" borderId="63" xfId="0" applyFont="1" applyBorder="1" applyAlignment="1">
      <alignment horizontal="center" vertical="center" wrapText="1"/>
    </xf>
    <xf numFmtId="0" fontId="64" fillId="0" borderId="0" xfId="0" applyFont="1" applyFill="1" applyBorder="1" applyAlignment="1">
      <alignment horizontal="center" vertical="center"/>
    </xf>
    <xf numFmtId="0" fontId="64" fillId="39" borderId="101" xfId="0" applyFont="1" applyFill="1" applyBorder="1" applyAlignment="1">
      <alignment horizontal="center" vertical="center"/>
    </xf>
    <xf numFmtId="0" fontId="61" fillId="6" borderId="207" xfId="0" applyFont="1" applyFill="1" applyBorder="1" applyAlignment="1">
      <alignment horizontal="center" vertical="center"/>
    </xf>
    <xf numFmtId="0" fontId="61" fillId="6" borderId="210" xfId="0" applyFont="1" applyFill="1" applyBorder="1" applyAlignment="1">
      <alignment horizontal="center" vertical="center"/>
    </xf>
    <xf numFmtId="0" fontId="61" fillId="6" borderId="208" xfId="0" applyFont="1" applyFill="1" applyBorder="1" applyAlignment="1">
      <alignment horizontal="center" vertical="center"/>
    </xf>
    <xf numFmtId="0" fontId="61" fillId="6" borderId="108" xfId="0" applyFont="1" applyFill="1" applyBorder="1" applyAlignment="1">
      <alignment horizontal="center" vertical="center"/>
    </xf>
    <xf numFmtId="0" fontId="63" fillId="0" borderId="90" xfId="0" applyFont="1" applyBorder="1" applyAlignment="1">
      <alignment horizontal="center" vertical="center" wrapText="1"/>
    </xf>
    <xf numFmtId="0" fontId="63" fillId="0" borderId="176" xfId="0" applyFont="1" applyBorder="1" applyAlignment="1">
      <alignment horizontal="center" vertical="center" wrapText="1"/>
    </xf>
    <xf numFmtId="0" fontId="63" fillId="0" borderId="91" xfId="0" applyFont="1" applyBorder="1" applyAlignment="1">
      <alignment horizontal="center" vertical="top" wrapText="1"/>
    </xf>
    <xf numFmtId="0" fontId="63" fillId="0" borderId="69" xfId="0" applyFont="1" applyBorder="1" applyAlignment="1">
      <alignment horizontal="center" vertical="center" wrapText="1"/>
    </xf>
    <xf numFmtId="0" fontId="61" fillId="28" borderId="208" xfId="0" applyFont="1" applyFill="1" applyBorder="1" applyAlignment="1">
      <alignment horizontal="center" vertical="center"/>
    </xf>
    <xf numFmtId="0" fontId="61" fillId="28" borderId="209" xfId="0" applyFont="1" applyFill="1" applyBorder="1" applyAlignment="1">
      <alignment horizontal="center" vertical="center"/>
    </xf>
    <xf numFmtId="0" fontId="61" fillId="55" borderId="203" xfId="0" applyFont="1" applyFill="1" applyBorder="1" applyAlignment="1">
      <alignment horizontal="center"/>
    </xf>
    <xf numFmtId="0" fontId="61" fillId="55" borderId="204" xfId="0" applyFont="1" applyFill="1" applyBorder="1" applyAlignment="1">
      <alignment horizontal="center"/>
    </xf>
    <xf numFmtId="0" fontId="69" fillId="0" borderId="0" xfId="0" applyFont="1" applyAlignment="1">
      <alignment wrapText="1"/>
    </xf>
    <xf numFmtId="0" fontId="63" fillId="0" borderId="135" xfId="0" applyFont="1" applyBorder="1" applyAlignment="1">
      <alignment horizontal="center" wrapText="1"/>
    </xf>
    <xf numFmtId="3" fontId="63" fillId="0" borderId="60" xfId="0" applyNumberFormat="1" applyFont="1" applyBorder="1" applyAlignment="1">
      <alignment horizontal="center" wrapText="1"/>
    </xf>
    <xf numFmtId="0" fontId="63" fillId="0" borderId="60" xfId="0" applyFont="1" applyBorder="1" applyAlignment="1">
      <alignment horizontal="center" wrapText="1"/>
    </xf>
    <xf numFmtId="3" fontId="63" fillId="0" borderId="69" xfId="0" applyNumberFormat="1" applyFont="1" applyBorder="1" applyAlignment="1">
      <alignment horizontal="center" wrapText="1"/>
    </xf>
    <xf numFmtId="0" fontId="63" fillId="0" borderId="69" xfId="0" applyFont="1" applyBorder="1" applyAlignment="1">
      <alignment horizontal="center" wrapText="1"/>
    </xf>
    <xf numFmtId="0" fontId="63" fillId="30" borderId="135" xfId="0" applyFont="1" applyFill="1" applyBorder="1" applyAlignment="1">
      <alignment horizontal="center"/>
    </xf>
    <xf numFmtId="0" fontId="63" fillId="0" borderId="92" xfId="0" applyFont="1" applyBorder="1" applyAlignment="1">
      <alignment horizontal="center" vertical="top" wrapText="1"/>
    </xf>
    <xf numFmtId="0" fontId="63" fillId="0" borderId="168" xfId="0" applyFont="1" applyBorder="1" applyAlignment="1">
      <alignment horizontal="center" vertical="center" wrapText="1"/>
    </xf>
    <xf numFmtId="0" fontId="63" fillId="0" borderId="136" xfId="0" applyFont="1" applyBorder="1" applyAlignment="1">
      <alignment horizontal="center" wrapText="1"/>
    </xf>
    <xf numFmtId="0" fontId="63" fillId="0" borderId="93" xfId="0" applyFont="1" applyBorder="1" applyAlignment="1">
      <alignment horizontal="center" wrapText="1"/>
    </xf>
    <xf numFmtId="0" fontId="63" fillId="30" borderId="136" xfId="0" applyFont="1" applyFill="1" applyBorder="1" applyAlignment="1">
      <alignment horizontal="center"/>
    </xf>
    <xf numFmtId="0" fontId="69" fillId="0" borderId="163" xfId="0" applyFont="1" applyBorder="1" applyAlignment="1">
      <alignment horizontal="left"/>
    </xf>
    <xf numFmtId="0" fontId="69" fillId="0" borderId="22" xfId="0" applyFont="1" applyBorder="1" applyAlignment="1">
      <alignment horizontal="left"/>
    </xf>
    <xf numFmtId="0" fontId="69" fillId="0" borderId="23" xfId="0" applyFont="1" applyBorder="1" applyAlignment="1">
      <alignment horizontal="left"/>
    </xf>
    <xf numFmtId="0" fontId="63" fillId="0" borderId="74" xfId="0" applyFont="1" applyBorder="1" applyAlignment="1">
      <alignment horizontal="left"/>
    </xf>
    <xf numFmtId="0" fontId="63" fillId="0" borderId="76" xfId="0" applyFont="1" applyBorder="1" applyAlignment="1">
      <alignment horizontal="left"/>
    </xf>
    <xf numFmtId="0" fontId="64" fillId="39" borderId="163" xfId="0" applyFont="1" applyFill="1" applyBorder="1" applyAlignment="1">
      <alignment horizontal="center"/>
    </xf>
    <xf numFmtId="0" fontId="64" fillId="39" borderId="22" xfId="0" applyFont="1" applyFill="1" applyBorder="1" applyAlignment="1">
      <alignment horizontal="center"/>
    </xf>
    <xf numFmtId="0" fontId="64" fillId="39" borderId="23" xfId="0" applyFont="1" applyFill="1" applyBorder="1" applyAlignment="1">
      <alignment horizontal="center"/>
    </xf>
    <xf numFmtId="0" fontId="64" fillId="30" borderId="105" xfId="0" applyFont="1" applyFill="1" applyBorder="1" applyAlignment="1">
      <alignment horizontal="center" wrapText="1"/>
    </xf>
    <xf numFmtId="0" fontId="64" fillId="30" borderId="193" xfId="0" applyFont="1" applyFill="1" applyBorder="1" applyAlignment="1">
      <alignment horizontal="center" wrapText="1"/>
    </xf>
    <xf numFmtId="0" fontId="64" fillId="30" borderId="153" xfId="0" applyFont="1" applyFill="1" applyBorder="1" applyAlignment="1">
      <alignment horizontal="center" wrapText="1"/>
    </xf>
    <xf numFmtId="0" fontId="63" fillId="10" borderId="164" xfId="0" applyFont="1" applyFill="1" applyBorder="1" applyAlignment="1">
      <alignment horizontal="center" vertical="center" wrapText="1"/>
    </xf>
    <xf numFmtId="0" fontId="63" fillId="10" borderId="20" xfId="0" applyFont="1" applyFill="1" applyBorder="1" applyAlignment="1">
      <alignment horizontal="center" vertical="center" wrapText="1"/>
    </xf>
    <xf numFmtId="0" fontId="63" fillId="10" borderId="64" xfId="0" applyFont="1" applyFill="1" applyBorder="1" applyAlignment="1">
      <alignment horizontal="center" vertical="center" wrapText="1"/>
    </xf>
    <xf numFmtId="0" fontId="64" fillId="30" borderId="163" xfId="0" applyFont="1" applyFill="1" applyBorder="1" applyAlignment="1">
      <alignment horizontal="center"/>
    </xf>
    <xf numFmtId="0" fontId="64" fillId="30" borderId="22" xfId="0" applyFont="1" applyFill="1" applyBorder="1" applyAlignment="1">
      <alignment horizontal="center"/>
    </xf>
    <xf numFmtId="0" fontId="64" fillId="30" borderId="163" xfId="0" applyFont="1" applyFill="1" applyBorder="1" applyAlignment="1">
      <alignment horizontal="center" wrapText="1"/>
    </xf>
    <xf numFmtId="0" fontId="64" fillId="30" borderId="22" xfId="0" applyFont="1" applyFill="1" applyBorder="1" applyAlignment="1">
      <alignment horizontal="center" wrapText="1"/>
    </xf>
    <xf numFmtId="0" fontId="64" fillId="30" borderId="23" xfId="0" applyFont="1" applyFill="1" applyBorder="1" applyAlignment="1">
      <alignment horizontal="center" wrapText="1"/>
    </xf>
    <xf numFmtId="0" fontId="64" fillId="15" borderId="163" xfId="0" applyFont="1" applyFill="1" applyBorder="1" applyAlignment="1">
      <alignment horizontal="center" wrapText="1"/>
    </xf>
    <xf numFmtId="0" fontId="64" fillId="15" borderId="23" xfId="0" applyFont="1" applyFill="1" applyBorder="1" applyAlignment="1">
      <alignment horizontal="center" wrapText="1"/>
    </xf>
    <xf numFmtId="0" fontId="63" fillId="0" borderId="19" xfId="0" applyFont="1" applyBorder="1" applyAlignment="1">
      <alignment horizontal="center" vertical="center" wrapText="1"/>
    </xf>
    <xf numFmtId="0" fontId="63" fillId="0" borderId="196"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194" xfId="0" applyFont="1" applyBorder="1" applyAlignment="1">
      <alignment horizontal="center" vertical="center" wrapText="1"/>
    </xf>
    <xf numFmtId="0" fontId="63" fillId="0" borderId="164" xfId="0" applyFont="1" applyBorder="1" applyAlignment="1">
      <alignment horizontal="center" vertical="center" wrapText="1"/>
    </xf>
    <xf numFmtId="0" fontId="63" fillId="0" borderId="20" xfId="0" applyFont="1" applyBorder="1" applyAlignment="1">
      <alignment horizontal="center" vertical="center" wrapText="1"/>
    </xf>
    <xf numFmtId="0" fontId="63" fillId="0" borderId="21" xfId="0" applyFont="1" applyBorder="1" applyAlignment="1">
      <alignment horizontal="center" vertical="center" wrapText="1"/>
    </xf>
    <xf numFmtId="0" fontId="63" fillId="39" borderId="48" xfId="0" applyFont="1" applyFill="1" applyBorder="1" applyAlignment="1">
      <alignment horizontal="center" wrapText="1"/>
    </xf>
    <xf numFmtId="0" fontId="63" fillId="39" borderId="136" xfId="0" applyFont="1" applyFill="1" applyBorder="1" applyAlignment="1">
      <alignment horizontal="center" wrapText="1"/>
    </xf>
    <xf numFmtId="0" fontId="63" fillId="0" borderId="102" xfId="0" applyFont="1" applyBorder="1" applyAlignment="1">
      <alignment horizontal="center" wrapText="1"/>
    </xf>
    <xf numFmtId="0" fontId="63" fillId="0" borderId="103" xfId="0" applyFont="1" applyBorder="1" applyAlignment="1">
      <alignment horizontal="center" wrapText="1"/>
    </xf>
    <xf numFmtId="0" fontId="63" fillId="15" borderId="102" xfId="0" applyFont="1" applyFill="1" applyBorder="1" applyAlignment="1">
      <alignment horizontal="center" wrapText="1"/>
    </xf>
    <xf numFmtId="0" fontId="63" fillId="15" borderId="103" xfId="0" applyFont="1" applyFill="1" applyBorder="1" applyAlignment="1">
      <alignment horizontal="center" wrapText="1"/>
    </xf>
    <xf numFmtId="0" fontId="64" fillId="29" borderId="22" xfId="0" applyFont="1" applyFill="1" applyBorder="1" applyAlignment="1">
      <alignment horizontal="center" wrapText="1"/>
    </xf>
    <xf numFmtId="0" fontId="64" fillId="15" borderId="19" xfId="0" applyFont="1" applyFill="1" applyBorder="1" applyAlignment="1">
      <alignment horizontal="center" wrapText="1"/>
    </xf>
    <xf numFmtId="0" fontId="63" fillId="0" borderId="66" xfId="0" applyFont="1" applyBorder="1" applyAlignment="1">
      <alignment horizontal="center" vertical="center" wrapText="1"/>
    </xf>
    <xf numFmtId="0" fontId="64" fillId="30" borderId="11" xfId="0" applyFont="1" applyFill="1" applyBorder="1" applyAlignment="1">
      <alignment horizontal="center" wrapText="1"/>
    </xf>
    <xf numFmtId="0" fontId="64" fillId="30" borderId="163" xfId="0" applyFont="1" applyFill="1" applyBorder="1" applyAlignment="1">
      <alignment horizontal="center" vertical="center" wrapText="1"/>
    </xf>
    <xf numFmtId="0" fontId="64" fillId="30" borderId="23" xfId="0" applyFont="1" applyFill="1" applyBorder="1" applyAlignment="1">
      <alignment horizontal="center" vertical="center" wrapText="1"/>
    </xf>
    <xf numFmtId="0" fontId="63" fillId="0" borderId="163" xfId="0" applyFont="1" applyBorder="1" applyAlignment="1">
      <alignment horizontal="center" vertical="center" wrapText="1"/>
    </xf>
    <xf numFmtId="0" fontId="63" fillId="0" borderId="23" xfId="0" applyFont="1" applyBorder="1" applyAlignment="1">
      <alignment horizontal="center" vertical="center" wrapText="1"/>
    </xf>
    <xf numFmtId="0" fontId="64" fillId="30" borderId="163" xfId="0" applyFont="1" applyFill="1" applyBorder="1" applyAlignment="1">
      <alignment horizontal="right" wrapText="1" indent="1"/>
    </xf>
    <xf numFmtId="0" fontId="64" fillId="30" borderId="23" xfId="0" applyFont="1" applyFill="1" applyBorder="1" applyAlignment="1">
      <alignment horizontal="right" wrapText="1" indent="1"/>
    </xf>
    <xf numFmtId="0" fontId="63" fillId="0" borderId="147" xfId="0" applyFont="1" applyBorder="1" applyAlignment="1">
      <alignment horizontal="center" vertical="center" wrapText="1"/>
    </xf>
    <xf numFmtId="0" fontId="63" fillId="0" borderId="78" xfId="0" applyFont="1" applyBorder="1" applyAlignment="1">
      <alignment horizontal="center" vertical="center" wrapText="1"/>
    </xf>
    <xf numFmtId="0" fontId="63" fillId="0" borderId="164" xfId="0" applyFont="1" applyBorder="1" applyAlignment="1">
      <alignment horizontal="center" vertical="top" wrapText="1"/>
    </xf>
    <xf numFmtId="0" fontId="63" fillId="0" borderId="21" xfId="0" applyFont="1" applyBorder="1" applyAlignment="1">
      <alignment horizontal="center" vertical="top" wrapText="1"/>
    </xf>
    <xf numFmtId="0" fontId="64" fillId="30" borderId="72" xfId="0" applyFont="1" applyFill="1" applyBorder="1" applyAlignment="1">
      <alignment horizontal="center"/>
    </xf>
    <xf numFmtId="0" fontId="63" fillId="0" borderId="65" xfId="0" applyFont="1" applyBorder="1" applyAlignment="1">
      <alignment horizontal="center" vertical="center" wrapText="1"/>
    </xf>
    <xf numFmtId="0" fontId="63" fillId="0" borderId="64" xfId="0" applyFont="1" applyBorder="1" applyAlignment="1">
      <alignment horizontal="center" vertical="center" wrapText="1"/>
    </xf>
    <xf numFmtId="0" fontId="64" fillId="39" borderId="72" xfId="0" applyFont="1" applyFill="1" applyBorder="1" applyAlignment="1">
      <alignment horizontal="center"/>
    </xf>
    <xf numFmtId="0" fontId="69" fillId="0" borderId="163" xfId="0" applyFont="1" applyBorder="1"/>
    <xf numFmtId="0" fontId="69" fillId="0" borderId="22" xfId="0" applyFont="1" applyBorder="1"/>
    <xf numFmtId="0" fontId="69" fillId="0" borderId="72" xfId="0" applyFont="1" applyBorder="1"/>
    <xf numFmtId="0" fontId="63" fillId="0" borderId="20" xfId="0" applyFont="1" applyBorder="1" applyAlignment="1">
      <alignment horizontal="center" vertical="top" wrapText="1"/>
    </xf>
    <xf numFmtId="0" fontId="61" fillId="6" borderId="69" xfId="0" applyFont="1" applyFill="1" applyBorder="1" applyAlignment="1">
      <alignment horizontal="center" vertical="center"/>
    </xf>
    <xf numFmtId="0" fontId="61" fillId="55" borderId="69" xfId="0" applyFont="1" applyFill="1" applyBorder="1" applyAlignment="1">
      <alignment horizontal="center"/>
    </xf>
    <xf numFmtId="0" fontId="63" fillId="0" borderId="69" xfId="0" applyFont="1" applyBorder="1" applyAlignment="1">
      <alignment horizontal="left" vertical="center"/>
    </xf>
    <xf numFmtId="3" fontId="63" fillId="0" borderId="0" xfId="0" applyNumberFormat="1" applyFont="1" applyAlignment="1">
      <alignment horizontal="center" vertical="center"/>
    </xf>
    <xf numFmtId="3" fontId="63" fillId="0" borderId="62" xfId="0" applyNumberFormat="1"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3" fillId="0" borderId="163" xfId="0" applyFont="1" applyBorder="1" applyAlignment="1">
      <alignment horizontal="center" vertical="top" wrapText="1"/>
    </xf>
    <xf numFmtId="0" fontId="63" fillId="0" borderId="22" xfId="0" applyFont="1" applyBorder="1" applyAlignment="1">
      <alignment horizontal="center" vertical="top" wrapText="1"/>
    </xf>
    <xf numFmtId="0" fontId="63" fillId="0" borderId="187" xfId="0" applyFont="1" applyBorder="1" applyAlignment="1">
      <alignment horizontal="center" vertical="center" wrapText="1"/>
    </xf>
    <xf numFmtId="0" fontId="64" fillId="15" borderId="194" xfId="0" applyFont="1" applyFill="1" applyBorder="1" applyAlignment="1">
      <alignment horizontal="center" wrapText="1"/>
    </xf>
    <xf numFmtId="3" fontId="64" fillId="0" borderId="7" xfId="0" applyNumberFormat="1" applyFont="1" applyBorder="1" applyAlignment="1">
      <alignment horizontal="center" vertical="center"/>
    </xf>
    <xf numFmtId="3" fontId="64" fillId="0" borderId="62" xfId="0" applyNumberFormat="1" applyFont="1" applyBorder="1" applyAlignment="1">
      <alignment horizontal="center" vertical="center"/>
    </xf>
    <xf numFmtId="0" fontId="64" fillId="30" borderId="78" xfId="0" applyFont="1" applyFill="1" applyBorder="1" applyAlignment="1">
      <alignment horizontal="center" wrapText="1"/>
    </xf>
    <xf numFmtId="0" fontId="64" fillId="0" borderId="8" xfId="0" applyFont="1" applyBorder="1" applyAlignment="1">
      <alignment horizontal="center" vertical="center"/>
    </xf>
    <xf numFmtId="0" fontId="64" fillId="0" borderId="10" xfId="0" applyFont="1" applyBorder="1" applyAlignment="1">
      <alignment horizontal="center" vertical="center"/>
    </xf>
    <xf numFmtId="0" fontId="64" fillId="0" borderId="62" xfId="0" applyFont="1" applyBorder="1" applyAlignment="1">
      <alignment horizontal="center" vertical="center"/>
    </xf>
    <xf numFmtId="0" fontId="63" fillId="0" borderId="195" xfId="0" applyFont="1" applyBorder="1" applyAlignment="1">
      <alignment horizontal="center" vertical="center" wrapText="1"/>
    </xf>
    <xf numFmtId="0" fontId="63" fillId="0" borderId="0" xfId="0" applyFont="1"/>
    <xf numFmtId="0" fontId="64" fillId="15" borderId="187" xfId="0" applyFont="1" applyFill="1" applyBorder="1" applyAlignment="1">
      <alignment horizontal="center" wrapText="1"/>
    </xf>
    <xf numFmtId="0" fontId="64" fillId="15" borderId="188" xfId="0" applyFont="1" applyFill="1" applyBorder="1" applyAlignment="1">
      <alignment horizontal="center" wrapText="1"/>
    </xf>
    <xf numFmtId="0" fontId="63" fillId="10" borderId="21" xfId="0" applyFont="1" applyFill="1" applyBorder="1" applyAlignment="1">
      <alignment horizontal="center" vertical="center" wrapText="1"/>
    </xf>
    <xf numFmtId="0" fontId="63" fillId="0" borderId="163" xfId="0" applyFont="1" applyBorder="1"/>
    <xf numFmtId="0" fontId="63" fillId="0" borderId="22" xfId="0" applyFont="1" applyBorder="1"/>
    <xf numFmtId="0" fontId="64" fillId="39" borderId="105" xfId="0" applyFont="1" applyFill="1" applyBorder="1" applyAlignment="1">
      <alignment horizontal="center"/>
    </xf>
    <xf numFmtId="0" fontId="64" fillId="39" borderId="193" xfId="0" applyFont="1" applyFill="1" applyBorder="1" applyAlignment="1">
      <alignment horizontal="center"/>
    </xf>
    <xf numFmtId="0" fontId="64" fillId="39" borderId="194" xfId="0" applyFont="1" applyFill="1" applyBorder="1" applyAlignment="1">
      <alignment horizontal="center"/>
    </xf>
    <xf numFmtId="0" fontId="64" fillId="30" borderId="23" xfId="0" applyFont="1" applyFill="1" applyBorder="1" applyAlignment="1">
      <alignment horizontal="center"/>
    </xf>
    <xf numFmtId="0" fontId="64" fillId="0" borderId="0" xfId="0" applyFont="1" applyAlignment="1">
      <alignment horizontal="center"/>
    </xf>
    <xf numFmtId="0" fontId="64" fillId="0" borderId="3" xfId="0" applyFont="1" applyBorder="1" applyAlignment="1">
      <alignment horizontal="center"/>
    </xf>
    <xf numFmtId="0" fontId="63" fillId="54" borderId="164" xfId="0" applyFont="1" applyFill="1" applyBorder="1" applyAlignment="1">
      <alignment horizontal="center" vertical="center" wrapText="1"/>
    </xf>
    <xf numFmtId="0" fontId="63" fillId="54" borderId="21" xfId="0" applyFont="1" applyFill="1" applyBorder="1" applyAlignment="1">
      <alignment horizontal="center" vertical="center" wrapText="1"/>
    </xf>
    <xf numFmtId="0" fontId="64" fillId="30" borderId="105" xfId="0" applyFont="1" applyFill="1" applyBorder="1" applyAlignment="1">
      <alignment horizontal="right" wrapText="1" indent="1"/>
    </xf>
    <xf numFmtId="0" fontId="64" fillId="30" borderId="78" xfId="0" applyFont="1" applyFill="1" applyBorder="1" applyAlignment="1">
      <alignment horizontal="right" wrapText="1" indent="1"/>
    </xf>
    <xf numFmtId="0" fontId="64" fillId="30" borderId="72" xfId="0" applyFont="1" applyFill="1" applyBorder="1" applyAlignment="1">
      <alignment horizontal="center" wrapText="1"/>
    </xf>
    <xf numFmtId="0" fontId="64" fillId="30" borderId="126" xfId="0" applyFont="1" applyFill="1" applyBorder="1" applyAlignment="1">
      <alignment horizontal="center" wrapText="1"/>
    </xf>
    <xf numFmtId="0" fontId="69" fillId="0" borderId="144" xfId="0" applyFont="1" applyBorder="1"/>
    <xf numFmtId="0" fontId="69" fillId="0" borderId="145" xfId="0" applyFont="1" applyBorder="1"/>
    <xf numFmtId="0" fontId="69" fillId="0" borderId="146" xfId="0" applyFont="1" applyBorder="1"/>
    <xf numFmtId="0" fontId="69" fillId="0" borderId="154" xfId="0" applyFont="1" applyBorder="1"/>
    <xf numFmtId="0" fontId="69" fillId="0" borderId="7" xfId="0" applyFont="1" applyBorder="1"/>
    <xf numFmtId="0" fontId="69" fillId="0" borderId="165" xfId="0" applyFont="1" applyBorder="1"/>
    <xf numFmtId="0" fontId="63" fillId="54" borderId="164" xfId="0" applyFont="1" applyFill="1" applyBorder="1" applyAlignment="1">
      <alignment horizontal="center" vertical="top" wrapText="1"/>
    </xf>
    <xf numFmtId="0" fontId="63" fillId="54" borderId="20" xfId="0" applyFont="1" applyFill="1" applyBorder="1" applyAlignment="1">
      <alignment horizontal="center" vertical="top" wrapText="1"/>
    </xf>
    <xf numFmtId="0" fontId="63" fillId="54" borderId="21" xfId="0" applyFont="1" applyFill="1" applyBorder="1" applyAlignment="1">
      <alignment horizontal="center" vertical="top" wrapText="1"/>
    </xf>
    <xf numFmtId="0" fontId="63" fillId="29" borderId="22" xfId="0" applyFont="1" applyFill="1" applyBorder="1" applyAlignment="1">
      <alignment horizontal="center" wrapText="1"/>
    </xf>
    <xf numFmtId="0" fontId="69" fillId="0" borderId="138" xfId="0" applyFont="1" applyBorder="1" applyAlignment="1">
      <alignment horizontal="left"/>
    </xf>
    <xf numFmtId="0" fontId="69" fillId="0" borderId="23" xfId="0" applyFont="1" applyBorder="1"/>
    <xf numFmtId="0" fontId="135" fillId="61" borderId="0" xfId="0" applyFont="1" applyFill="1" applyAlignment="1">
      <alignment horizontal="center"/>
    </xf>
    <xf numFmtId="0" fontId="61" fillId="55" borderId="69" xfId="0" applyFont="1" applyFill="1" applyBorder="1" applyAlignment="1">
      <alignment horizontal="center" vertical="center"/>
    </xf>
    <xf numFmtId="0" fontId="61" fillId="6" borderId="15" xfId="0" applyFont="1" applyFill="1" applyBorder="1" applyAlignment="1">
      <alignment horizontal="center" vertical="center"/>
    </xf>
    <xf numFmtId="0" fontId="61" fillId="6" borderId="16" xfId="0" applyFont="1" applyFill="1" applyBorder="1" applyAlignment="1">
      <alignment horizontal="center" vertical="center"/>
    </xf>
    <xf numFmtId="0" fontId="61" fillId="6" borderId="71" xfId="0" applyFont="1" applyFill="1" applyBorder="1" applyAlignment="1">
      <alignment horizontal="center" vertical="center"/>
    </xf>
    <xf numFmtId="0" fontId="61" fillId="6" borderId="2" xfId="0" applyFont="1" applyFill="1" applyBorder="1" applyAlignment="1">
      <alignment horizontal="center" vertical="center"/>
    </xf>
    <xf numFmtId="0" fontId="63" fillId="0" borderId="204" xfId="0" applyFont="1" applyBorder="1" applyAlignment="1">
      <alignment horizontal="left"/>
    </xf>
    <xf numFmtId="0" fontId="64" fillId="30" borderId="138" xfId="0" applyFont="1" applyFill="1" applyBorder="1" applyAlignment="1">
      <alignment horizontal="right" wrapText="1" indent="1"/>
    </xf>
    <xf numFmtId="0" fontId="45" fillId="30" borderId="138" xfId="0" applyFont="1" applyFill="1" applyBorder="1" applyAlignment="1">
      <alignment horizontal="center" wrapText="1"/>
    </xf>
    <xf numFmtId="0" fontId="45" fillId="30" borderId="22" xfId="0" applyFont="1" applyFill="1" applyBorder="1" applyAlignment="1">
      <alignment horizontal="center" wrapText="1"/>
    </xf>
    <xf numFmtId="0" fontId="45" fillId="30" borderId="72" xfId="0" applyFont="1" applyFill="1" applyBorder="1" applyAlignment="1">
      <alignment horizontal="center" wrapText="1"/>
    </xf>
    <xf numFmtId="0" fontId="63" fillId="0" borderId="15" xfId="0" applyFont="1" applyBorder="1" applyAlignment="1">
      <alignment horizontal="left"/>
    </xf>
    <xf numFmtId="0" fontId="63" fillId="0" borderId="14" xfId="0" applyFont="1" applyBorder="1" applyAlignment="1">
      <alignment horizontal="left"/>
    </xf>
    <xf numFmtId="0" fontId="64" fillId="0" borderId="154" xfId="0" applyFont="1" applyBorder="1" applyAlignment="1">
      <alignment horizontal="center" vertical="center"/>
    </xf>
    <xf numFmtId="0" fontId="64" fillId="0" borderId="7" xfId="0" applyFont="1" applyBorder="1" applyAlignment="1">
      <alignment horizontal="center" vertical="center"/>
    </xf>
    <xf numFmtId="3" fontId="63" fillId="0" borderId="7" xfId="0" applyNumberFormat="1" applyFont="1" applyBorder="1" applyAlignment="1">
      <alignment horizontal="center" vertical="center"/>
    </xf>
    <xf numFmtId="0" fontId="61" fillId="55" borderId="17" xfId="0" applyFont="1" applyFill="1" applyBorder="1" applyAlignment="1">
      <alignment horizontal="center" vertical="center"/>
    </xf>
    <xf numFmtId="0" fontId="61" fillId="55" borderId="60" xfId="0" applyFont="1" applyFill="1" applyBorder="1" applyAlignment="1">
      <alignment horizontal="center" vertical="center"/>
    </xf>
    <xf numFmtId="0" fontId="61" fillId="55" borderId="74" xfId="0" applyFont="1" applyFill="1" applyBorder="1" applyAlignment="1">
      <alignment horizontal="center"/>
    </xf>
    <xf numFmtId="0" fontId="61" fillId="55" borderId="76" xfId="0" applyFont="1" applyFill="1" applyBorder="1" applyAlignment="1">
      <alignment horizontal="center"/>
    </xf>
    <xf numFmtId="0" fontId="61" fillId="55" borderId="105" xfId="0" applyFont="1" applyFill="1" applyBorder="1" applyAlignment="1">
      <alignment horizontal="center" vertical="center"/>
    </xf>
    <xf numFmtId="0" fontId="61" fillId="55" borderId="193" xfId="0" applyFont="1" applyFill="1" applyBorder="1" applyAlignment="1">
      <alignment horizontal="center" vertical="center"/>
    </xf>
    <xf numFmtId="0" fontId="61" fillId="55" borderId="197" xfId="0" applyFont="1" applyFill="1" applyBorder="1" applyAlignment="1">
      <alignment horizontal="center" vertical="center"/>
    </xf>
    <xf numFmtId="0" fontId="63" fillId="0" borderId="138" xfId="0" applyFont="1" applyBorder="1" applyAlignment="1">
      <alignment horizontal="center" vertical="center" wrapText="1"/>
    </xf>
    <xf numFmtId="0" fontId="47" fillId="0" borderId="147"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65" xfId="0" applyFont="1" applyBorder="1" applyAlignment="1">
      <alignment horizontal="center" vertical="center" wrapText="1"/>
    </xf>
    <xf numFmtId="0" fontId="63" fillId="0" borderId="148" xfId="0" applyFont="1" applyBorder="1" applyAlignment="1">
      <alignment horizontal="center" vertical="center" wrapText="1"/>
    </xf>
    <xf numFmtId="0" fontId="64" fillId="39" borderId="149" xfId="0" applyFont="1" applyFill="1" applyBorder="1" applyAlignment="1">
      <alignment horizontal="center"/>
    </xf>
    <xf numFmtId="0" fontId="64" fillId="39" borderId="153" xfId="0" applyFont="1" applyFill="1" applyBorder="1" applyAlignment="1">
      <alignment horizontal="center"/>
    </xf>
    <xf numFmtId="0" fontId="69" fillId="0" borderId="154" xfId="0" applyFont="1" applyBorder="1" applyAlignment="1">
      <alignment horizontal="left" wrapText="1"/>
    </xf>
    <xf numFmtId="0" fontId="69" fillId="0" borderId="7" xfId="0" applyFont="1" applyBorder="1" applyAlignment="1">
      <alignment horizontal="left" wrapText="1"/>
    </xf>
    <xf numFmtId="0" fontId="64" fillId="30" borderId="138" xfId="0" applyFont="1" applyFill="1" applyBorder="1" applyAlignment="1">
      <alignment horizontal="center" wrapText="1"/>
    </xf>
    <xf numFmtId="0" fontId="63" fillId="0" borderId="137" xfId="0" applyFont="1" applyBorder="1" applyAlignment="1">
      <alignment horizontal="center" vertical="center" wrapText="1"/>
    </xf>
    <xf numFmtId="0" fontId="64" fillId="30" borderId="138" xfId="0" applyFont="1" applyFill="1" applyBorder="1" applyAlignment="1">
      <alignment horizontal="center"/>
    </xf>
    <xf numFmtId="0" fontId="64" fillId="39" borderId="138" xfId="0" applyFont="1" applyFill="1" applyBorder="1" applyAlignment="1">
      <alignment horizontal="center"/>
    </xf>
    <xf numFmtId="0" fontId="63" fillId="0" borderId="0" xfId="0" applyFont="1" applyAlignment="1">
      <alignment wrapText="1"/>
    </xf>
    <xf numFmtId="0" fontId="69" fillId="0" borderId="0" xfId="0" applyFont="1"/>
    <xf numFmtId="0" fontId="63" fillId="0" borderId="164" xfId="0" applyFont="1" applyBorder="1" applyAlignment="1">
      <alignment horizontal="center" wrapText="1"/>
    </xf>
    <xf numFmtId="0" fontId="63" fillId="0" borderId="21" xfId="0" applyFont="1" applyBorder="1" applyAlignment="1">
      <alignment horizontal="center" wrapText="1"/>
    </xf>
    <xf numFmtId="0" fontId="64" fillId="30" borderId="138" xfId="0" applyFont="1" applyFill="1" applyBorder="1" applyAlignment="1">
      <alignment horizontal="center" vertical="center"/>
    </xf>
    <xf numFmtId="0" fontId="64" fillId="30" borderId="22" xfId="0" applyFont="1" applyFill="1" applyBorder="1" applyAlignment="1">
      <alignment horizontal="center" vertical="center"/>
    </xf>
    <xf numFmtId="0" fontId="64" fillId="30" borderId="72" xfId="0" applyFont="1" applyFill="1" applyBorder="1" applyAlignment="1">
      <alignment horizontal="center" vertical="center"/>
    </xf>
    <xf numFmtId="0" fontId="64" fillId="30" borderId="154" xfId="0" applyFont="1" applyFill="1" applyBorder="1" applyAlignment="1">
      <alignment horizontal="center"/>
    </xf>
    <xf numFmtId="0" fontId="64" fillId="30" borderId="7" xfId="0" applyFont="1" applyFill="1" applyBorder="1" applyAlignment="1">
      <alignment horizontal="center"/>
    </xf>
    <xf numFmtId="0" fontId="64" fillId="30" borderId="165" xfId="0" applyFont="1" applyFill="1" applyBorder="1" applyAlignment="1">
      <alignment horizontal="center"/>
    </xf>
    <xf numFmtId="0" fontId="61" fillId="55" borderId="74" xfId="51" applyFont="1" applyFill="1" applyBorder="1" applyAlignment="1">
      <alignment horizontal="center"/>
    </xf>
    <xf numFmtId="0" fontId="61" fillId="55" borderId="75" xfId="51" applyFont="1" applyFill="1" applyBorder="1" applyAlignment="1">
      <alignment horizontal="center"/>
    </xf>
    <xf numFmtId="0" fontId="62" fillId="10" borderId="0" xfId="53" applyFont="1" applyFill="1" applyAlignment="1">
      <alignment horizontal="left" vertical="center"/>
    </xf>
    <xf numFmtId="0" fontId="70" fillId="9" borderId="17" xfId="53" applyFont="1" applyFill="1" applyBorder="1" applyAlignment="1">
      <alignment horizontal="center" vertical="center" wrapText="1"/>
    </xf>
    <xf numFmtId="0" fontId="70" fillId="9" borderId="60" xfId="53" applyFont="1" applyFill="1" applyBorder="1" applyAlignment="1">
      <alignment horizontal="center" vertical="center" wrapText="1"/>
    </xf>
    <xf numFmtId="0" fontId="62" fillId="10" borderId="15" xfId="53" applyFont="1" applyFill="1" applyBorder="1" applyAlignment="1">
      <alignment horizontal="left" vertical="center"/>
    </xf>
    <xf numFmtId="0" fontId="62" fillId="10" borderId="71" xfId="53" applyFont="1" applyFill="1" applyBorder="1" applyAlignment="1">
      <alignment horizontal="left" vertical="center"/>
    </xf>
    <xf numFmtId="0" fontId="62" fillId="10" borderId="63" xfId="53" applyFont="1" applyFill="1" applyBorder="1" applyAlignment="1">
      <alignment horizontal="left" vertical="center"/>
    </xf>
    <xf numFmtId="0" fontId="62" fillId="10" borderId="0" xfId="53" applyFont="1" applyFill="1" applyAlignment="1">
      <alignment horizontal="left" vertical="center" wrapText="1"/>
    </xf>
    <xf numFmtId="0" fontId="61" fillId="55" borderId="0" xfId="0" applyFont="1" applyFill="1" applyAlignment="1">
      <alignment horizontal="center"/>
    </xf>
    <xf numFmtId="0" fontId="63" fillId="29" borderId="163" xfId="0" applyFont="1" applyFill="1" applyBorder="1" applyAlignment="1">
      <alignment horizontal="left" wrapText="1" indent="1"/>
    </xf>
    <xf numFmtId="0" fontId="63" fillId="29" borderId="23" xfId="0" applyFont="1" applyFill="1" applyBorder="1" applyAlignment="1">
      <alignment horizontal="left" wrapText="1" indent="1"/>
    </xf>
    <xf numFmtId="4" fontId="63" fillId="0" borderId="66" xfId="0" applyNumberFormat="1" applyFont="1" applyBorder="1" applyAlignment="1">
      <alignment horizontal="center" vertical="center" wrapText="1"/>
    </xf>
    <xf numFmtId="4" fontId="63" fillId="0" borderId="20" xfId="0" applyNumberFormat="1" applyFont="1" applyBorder="1" applyAlignment="1">
      <alignment horizontal="center" vertical="center" wrapText="1"/>
    </xf>
    <xf numFmtId="4" fontId="63" fillId="0" borderId="21" xfId="0" applyNumberFormat="1" applyFont="1" applyBorder="1" applyAlignment="1">
      <alignment horizontal="center" vertical="center" wrapText="1"/>
    </xf>
    <xf numFmtId="0" fontId="63" fillId="0" borderId="66" xfId="0" applyFont="1" applyBorder="1" applyAlignment="1">
      <alignment horizontal="left" vertical="center" wrapText="1"/>
    </xf>
    <xf numFmtId="0" fontId="63" fillId="0" borderId="20" xfId="0" applyFont="1" applyBorder="1" applyAlignment="1">
      <alignment horizontal="left" vertical="center" wrapText="1"/>
    </xf>
    <xf numFmtId="0" fontId="63" fillId="0" borderId="148" xfId="0" applyFont="1" applyBorder="1" applyAlignment="1">
      <alignment horizontal="left" vertical="center" wrapText="1"/>
    </xf>
    <xf numFmtId="0" fontId="63" fillId="0" borderId="170" xfId="0" applyFont="1" applyBorder="1" applyAlignment="1">
      <alignment horizontal="center" vertical="center" wrapText="1"/>
    </xf>
    <xf numFmtId="0" fontId="64" fillId="29" borderId="172" xfId="0" applyFont="1" applyFill="1" applyBorder="1" applyAlignment="1">
      <alignment horizontal="center" vertical="center" wrapText="1"/>
    </xf>
    <xf numFmtId="0" fontId="64" fillId="29" borderId="7" xfId="0" applyFont="1" applyFill="1" applyBorder="1" applyAlignment="1">
      <alignment horizontal="center" vertical="center" wrapText="1"/>
    </xf>
    <xf numFmtId="0" fontId="64" fillId="29" borderId="173" xfId="0" applyFont="1" applyFill="1" applyBorder="1" applyAlignment="1">
      <alignment horizontal="center" vertical="center" wrapText="1"/>
    </xf>
    <xf numFmtId="0" fontId="64" fillId="29" borderId="8" xfId="0" applyFont="1" applyFill="1" applyBorder="1" applyAlignment="1">
      <alignment horizontal="center" vertical="center" wrapText="1"/>
    </xf>
    <xf numFmtId="0" fontId="64" fillId="29" borderId="0" xfId="0" applyFont="1" applyFill="1" applyAlignment="1">
      <alignment horizontal="center" vertical="center" wrapText="1"/>
    </xf>
    <xf numFmtId="0" fontId="64" fillId="29" borderId="3" xfId="0" applyFont="1" applyFill="1" applyBorder="1" applyAlignment="1">
      <alignment horizontal="center" vertical="center" wrapText="1"/>
    </xf>
    <xf numFmtId="0" fontId="64" fillId="29" borderId="105" xfId="0" applyFont="1" applyFill="1" applyBorder="1" applyAlignment="1">
      <alignment horizontal="center" vertical="center" wrapText="1"/>
    </xf>
    <xf numFmtId="0" fontId="64" fillId="29" borderId="149" xfId="0" applyFont="1" applyFill="1" applyBorder="1" applyAlignment="1">
      <alignment horizontal="center" vertical="center" wrapText="1"/>
    </xf>
    <xf numFmtId="0" fontId="64" fillId="29" borderId="137" xfId="0" applyFont="1" applyFill="1" applyBorder="1" applyAlignment="1">
      <alignment horizontal="center" vertical="center" wrapText="1"/>
    </xf>
    <xf numFmtId="0" fontId="63" fillId="29" borderId="164" xfId="0" applyFont="1" applyFill="1" applyBorder="1" applyAlignment="1">
      <alignment horizontal="left" indent="1"/>
    </xf>
    <xf numFmtId="0" fontId="63" fillId="29" borderId="20" xfId="0" applyFont="1" applyFill="1" applyBorder="1" applyAlignment="1">
      <alignment horizontal="left" indent="1"/>
    </xf>
    <xf numFmtId="0" fontId="63" fillId="29" borderId="21" xfId="0" applyFont="1" applyFill="1" applyBorder="1" applyAlignment="1">
      <alignment horizontal="left" indent="1"/>
    </xf>
    <xf numFmtId="4" fontId="64" fillId="29" borderId="164" xfId="0" applyNumberFormat="1" applyFont="1" applyFill="1" applyBorder="1" applyAlignment="1">
      <alignment horizontal="center" vertical="center"/>
    </xf>
    <xf numFmtId="4" fontId="64" fillId="29" borderId="20" xfId="0" applyNumberFormat="1" applyFont="1" applyFill="1" applyBorder="1" applyAlignment="1">
      <alignment horizontal="center" vertical="center"/>
    </xf>
    <xf numFmtId="4" fontId="64" fillId="29" borderId="21" xfId="0" applyNumberFormat="1" applyFont="1" applyFill="1" applyBorder="1" applyAlignment="1">
      <alignment horizontal="center" vertical="center"/>
    </xf>
    <xf numFmtId="0" fontId="64" fillId="29" borderId="138" xfId="0" applyFont="1" applyFill="1" applyBorder="1" applyAlignment="1">
      <alignment horizontal="center" vertical="center" wrapText="1"/>
    </xf>
    <xf numFmtId="0" fontId="64" fillId="29" borderId="22" xfId="0" applyFont="1" applyFill="1" applyBorder="1" applyAlignment="1">
      <alignment horizontal="center" vertical="center"/>
    </xf>
    <xf numFmtId="0" fontId="64" fillId="29" borderId="154" xfId="0" applyFont="1" applyFill="1" applyBorder="1" applyAlignment="1">
      <alignment horizontal="center" vertical="center" wrapText="1"/>
    </xf>
    <xf numFmtId="0" fontId="64" fillId="29" borderId="166" xfId="0" applyFont="1" applyFill="1" applyBorder="1" applyAlignment="1">
      <alignment horizontal="center" vertical="center" wrapText="1"/>
    </xf>
    <xf numFmtId="0" fontId="31" fillId="29" borderId="20" xfId="0" applyFont="1" applyFill="1" applyBorder="1" applyAlignment="1">
      <alignment horizontal="left" indent="1"/>
    </xf>
    <xf numFmtId="0" fontId="63" fillId="29" borderId="138" xfId="0" applyFont="1" applyFill="1" applyBorder="1" applyAlignment="1">
      <alignment horizontal="left" wrapText="1" indent="1"/>
    </xf>
    <xf numFmtId="0" fontId="64" fillId="0" borderId="67" xfId="0" applyFont="1" applyBorder="1" applyAlignment="1">
      <alignment horizontal="center" wrapText="1"/>
    </xf>
    <xf numFmtId="0" fontId="64" fillId="0" borderId="68" xfId="0" applyFont="1" applyBorder="1" applyAlignment="1">
      <alignment horizontal="center" wrapText="1"/>
    </xf>
    <xf numFmtId="0" fontId="64" fillId="30" borderId="22" xfId="0" applyFont="1" applyFill="1" applyBorder="1" applyAlignment="1">
      <alignment horizontal="center" vertical="center" wrapText="1"/>
    </xf>
    <xf numFmtId="0" fontId="64" fillId="30" borderId="72" xfId="0" applyFont="1" applyFill="1" applyBorder="1" applyAlignment="1">
      <alignment horizontal="center" vertical="center" wrapText="1"/>
    </xf>
    <xf numFmtId="0" fontId="63" fillId="0" borderId="169" xfId="0" applyFont="1" applyBorder="1" applyAlignment="1">
      <alignment horizontal="center" vertical="center" wrapText="1"/>
    </xf>
    <xf numFmtId="0" fontId="64" fillId="30" borderId="138" xfId="0" applyFont="1" applyFill="1" applyBorder="1" applyAlignment="1">
      <alignment horizontal="center" vertical="center" wrapText="1"/>
    </xf>
    <xf numFmtId="0" fontId="63" fillId="0" borderId="138" xfId="0" applyFont="1" applyBorder="1" applyAlignment="1">
      <alignment horizontal="center" vertical="top" wrapText="1"/>
    </xf>
    <xf numFmtId="0" fontId="63" fillId="0" borderId="23" xfId="0" applyFont="1" applyBorder="1" applyAlignment="1">
      <alignment horizontal="center" vertical="top" wrapText="1"/>
    </xf>
    <xf numFmtId="0" fontId="63" fillId="0" borderId="166" xfId="0" applyFont="1" applyBorder="1" applyAlignment="1">
      <alignment horizontal="center" vertical="center" wrapText="1"/>
    </xf>
    <xf numFmtId="0" fontId="64" fillId="29" borderId="23" xfId="0" applyFont="1" applyFill="1" applyBorder="1" applyAlignment="1">
      <alignment horizontal="center" vertical="center"/>
    </xf>
    <xf numFmtId="0" fontId="64" fillId="29" borderId="155" xfId="0" applyFont="1" applyFill="1" applyBorder="1" applyAlignment="1">
      <alignment horizontal="center" vertical="center" wrapText="1"/>
    </xf>
    <xf numFmtId="0" fontId="64" fillId="29" borderId="9" xfId="0" applyFont="1" applyFill="1" applyBorder="1" applyAlignment="1">
      <alignment horizontal="center" vertical="center" wrapText="1"/>
    </xf>
    <xf numFmtId="0" fontId="64" fillId="29" borderId="211" xfId="0" applyFont="1" applyFill="1" applyBorder="1" applyAlignment="1">
      <alignment horizontal="center" vertical="center" wrapText="1"/>
    </xf>
    <xf numFmtId="0" fontId="64" fillId="29" borderId="20" xfId="0" applyFont="1" applyFill="1" applyBorder="1" applyAlignment="1">
      <alignment horizontal="center" vertical="center" wrapText="1"/>
    </xf>
    <xf numFmtId="0" fontId="64" fillId="29" borderId="21" xfId="0" applyFont="1" applyFill="1" applyBorder="1" applyAlignment="1">
      <alignment horizontal="center" vertical="center" wrapText="1"/>
    </xf>
    <xf numFmtId="0" fontId="64" fillId="29" borderId="164" xfId="0" applyFont="1" applyFill="1" applyBorder="1" applyAlignment="1">
      <alignment horizontal="center" vertical="center" wrapText="1"/>
    </xf>
    <xf numFmtId="0" fontId="63" fillId="0" borderId="171" xfId="0" applyFont="1" applyBorder="1" applyAlignment="1">
      <alignment horizontal="center" vertical="center" wrapText="1"/>
    </xf>
    <xf numFmtId="0" fontId="63" fillId="0" borderId="171" xfId="0" applyFont="1" applyBorder="1" applyAlignment="1">
      <alignment horizontal="left" vertical="center" wrapText="1"/>
    </xf>
    <xf numFmtId="0" fontId="45" fillId="30" borderId="163" xfId="3" applyFont="1" applyFill="1" applyBorder="1" applyAlignment="1">
      <alignment horizontal="center"/>
    </xf>
    <xf numFmtId="0" fontId="45" fillId="30" borderId="23" xfId="3" applyFont="1" applyFill="1" applyBorder="1" applyAlignment="1">
      <alignment horizontal="center"/>
    </xf>
    <xf numFmtId="0" fontId="47" fillId="0" borderId="164" xfId="3" applyFont="1" applyBorder="1" applyAlignment="1">
      <alignment horizontal="center" vertical="center" wrapText="1"/>
    </xf>
    <xf numFmtId="0" fontId="47" fillId="0" borderId="20" xfId="3" applyFont="1" applyBorder="1" applyAlignment="1">
      <alignment horizontal="center" vertical="center" wrapText="1"/>
    </xf>
    <xf numFmtId="0" fontId="47" fillId="0" borderId="64" xfId="3" applyFont="1" applyBorder="1" applyAlignment="1">
      <alignment horizontal="center" vertical="center" wrapText="1"/>
    </xf>
    <xf numFmtId="0" fontId="47" fillId="0" borderId="21" xfId="3" applyFont="1" applyBorder="1" applyAlignment="1">
      <alignment horizontal="center" vertical="center" wrapText="1"/>
    </xf>
    <xf numFmtId="0" fontId="14" fillId="0" borderId="21" xfId="3" applyBorder="1" applyAlignment="1">
      <alignment horizontal="center" vertical="center" wrapText="1"/>
    </xf>
    <xf numFmtId="43" fontId="64" fillId="33" borderId="19" xfId="1" applyFont="1" applyFill="1" applyBorder="1" applyAlignment="1">
      <alignment horizontal="center" vertical="center"/>
    </xf>
    <xf numFmtId="43" fontId="63" fillId="0" borderId="187" xfId="1" applyFont="1" applyBorder="1" applyAlignment="1">
      <alignment horizontal="center" vertical="center" wrapText="1"/>
    </xf>
    <xf numFmtId="43" fontId="63" fillId="0" borderId="201" xfId="1" applyFont="1" applyBorder="1" applyAlignment="1">
      <alignment horizontal="center" vertical="center" wrapText="1"/>
    </xf>
    <xf numFmtId="43" fontId="63" fillId="0" borderId="105" xfId="1" applyFont="1" applyBorder="1" applyAlignment="1">
      <alignment horizontal="center" vertical="center" wrapText="1"/>
    </xf>
    <xf numFmtId="43" fontId="63" fillId="33" borderId="19" xfId="1" applyFont="1" applyFill="1" applyBorder="1" applyAlignment="1">
      <alignment horizontal="center" vertical="center" wrapText="1"/>
    </xf>
    <xf numFmtId="0" fontId="47" fillId="0" borderId="164" xfId="0" applyFont="1" applyBorder="1" applyAlignment="1">
      <alignment horizontal="center" vertical="center" wrapText="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69" fillId="0" borderId="105" xfId="0" applyFont="1" applyBorder="1" applyAlignment="1">
      <alignment wrapText="1"/>
    </xf>
    <xf numFmtId="0" fontId="69" fillId="0" borderId="149" xfId="0" applyFont="1" applyBorder="1" applyAlignment="1">
      <alignment wrapText="1"/>
    </xf>
    <xf numFmtId="0" fontId="69" fillId="0" borderId="137" xfId="0" applyFont="1" applyBorder="1" applyAlignment="1">
      <alignment wrapText="1"/>
    </xf>
    <xf numFmtId="0" fontId="47" fillId="0" borderId="64" xfId="0" applyFont="1" applyBorder="1" applyAlignment="1">
      <alignment horizontal="center" vertical="center" wrapText="1"/>
    </xf>
    <xf numFmtId="0" fontId="0" fillId="0" borderId="21" xfId="0" applyBorder="1" applyAlignment="1">
      <alignment horizontal="center" vertical="center" wrapText="1"/>
    </xf>
    <xf numFmtId="0" fontId="63" fillId="0" borderId="198" xfId="3" applyFont="1" applyBorder="1" applyAlignment="1">
      <alignment horizontal="center" vertical="center" wrapText="1"/>
    </xf>
    <xf numFmtId="0" fontId="63" fillId="0" borderId="199" xfId="3" applyFont="1" applyBorder="1" applyAlignment="1">
      <alignment horizontal="center" vertical="center" wrapText="1"/>
    </xf>
    <xf numFmtId="0" fontId="63" fillId="0" borderId="200" xfId="3" applyFont="1" applyBorder="1" applyAlignment="1">
      <alignment horizontal="center" vertical="center" wrapText="1"/>
    </xf>
    <xf numFmtId="0" fontId="63" fillId="30" borderId="171" xfId="3" applyFont="1" applyFill="1" applyBorder="1" applyAlignment="1">
      <alignment vertical="center" wrapText="1"/>
    </xf>
    <xf numFmtId="0" fontId="63" fillId="30" borderId="20" xfId="3" applyFont="1" applyFill="1" applyBorder="1" applyAlignment="1">
      <alignment vertical="center" wrapText="1"/>
    </xf>
    <xf numFmtId="0" fontId="63" fillId="30" borderId="148" xfId="3" applyFont="1" applyFill="1" applyBorder="1" applyAlignment="1">
      <alignment vertical="center" wrapText="1"/>
    </xf>
    <xf numFmtId="0" fontId="63" fillId="0" borderId="188" xfId="0" applyFont="1" applyBorder="1" applyAlignment="1">
      <alignment horizontal="center" vertical="center" wrapText="1"/>
    </xf>
    <xf numFmtId="0" fontId="63" fillId="0" borderId="183" xfId="0" applyFont="1" applyBorder="1" applyAlignment="1">
      <alignment horizontal="center" vertical="center" wrapText="1"/>
    </xf>
    <xf numFmtId="0" fontId="64" fillId="30" borderId="105" xfId="3" applyFont="1" applyFill="1" applyBorder="1" applyAlignment="1">
      <alignment horizontal="center"/>
    </xf>
    <xf numFmtId="0" fontId="64" fillId="30" borderId="193" xfId="3" applyFont="1" applyFill="1" applyBorder="1" applyAlignment="1">
      <alignment horizontal="center"/>
    </xf>
    <xf numFmtId="0" fontId="63" fillId="30" borderId="66" xfId="0" applyFont="1" applyFill="1" applyBorder="1" applyAlignment="1">
      <alignment horizontal="center" vertical="center" wrapText="1"/>
    </xf>
    <xf numFmtId="0" fontId="63" fillId="30" borderId="20" xfId="0" applyFont="1" applyFill="1" applyBorder="1" applyAlignment="1">
      <alignment horizontal="center" vertical="center" wrapText="1"/>
    </xf>
    <xf numFmtId="0" fontId="63" fillId="30" borderId="21" xfId="0" applyFont="1" applyFill="1" applyBorder="1" applyAlignment="1">
      <alignment horizontal="center" vertical="center" wrapText="1"/>
    </xf>
    <xf numFmtId="0" fontId="63" fillId="30" borderId="164" xfId="0" applyFont="1" applyFill="1" applyBorder="1" applyAlignment="1">
      <alignment horizontal="center" vertical="center" wrapText="1"/>
    </xf>
    <xf numFmtId="0" fontId="63" fillId="0" borderId="164" xfId="3" applyFont="1" applyBorder="1" applyAlignment="1">
      <alignment horizontal="center" vertical="center" wrapText="1"/>
    </xf>
    <xf numFmtId="0" fontId="63" fillId="0" borderId="20" xfId="3" applyFont="1" applyBorder="1" applyAlignment="1">
      <alignment horizontal="center" vertical="center" wrapText="1"/>
    </xf>
    <xf numFmtId="0" fontId="63" fillId="0" borderId="21" xfId="3" applyFont="1" applyBorder="1" applyAlignment="1">
      <alignment horizontal="center" vertical="center" wrapText="1"/>
    </xf>
    <xf numFmtId="0" fontId="63" fillId="30" borderId="164" xfId="3" applyFont="1" applyFill="1" applyBorder="1" applyAlignment="1">
      <alignment horizontal="center" vertical="center" wrapText="1"/>
    </xf>
    <xf numFmtId="0" fontId="63" fillId="30" borderId="20" xfId="3" applyFont="1" applyFill="1" applyBorder="1" applyAlignment="1">
      <alignment horizontal="center" vertical="center" wrapText="1"/>
    </xf>
    <xf numFmtId="0" fontId="63" fillId="30" borderId="21" xfId="3" applyFont="1" applyFill="1" applyBorder="1" applyAlignment="1">
      <alignment horizontal="center" vertical="center" wrapText="1"/>
    </xf>
    <xf numFmtId="0" fontId="69" fillId="0" borderId="187" xfId="0" applyFont="1" applyBorder="1" applyAlignment="1">
      <alignment wrapText="1"/>
    </xf>
    <xf numFmtId="0" fontId="69" fillId="0" borderId="189" xfId="0" applyFont="1" applyBorder="1" applyAlignment="1">
      <alignment wrapText="1"/>
    </xf>
    <xf numFmtId="0" fontId="69" fillId="0" borderId="188" xfId="0" applyFont="1" applyBorder="1" applyAlignment="1">
      <alignment wrapText="1"/>
    </xf>
    <xf numFmtId="0" fontId="63" fillId="0" borderId="180" xfId="3" applyFont="1" applyBorder="1" applyAlignment="1">
      <alignment horizontal="center" vertical="center" wrapText="1"/>
    </xf>
    <xf numFmtId="0" fontId="63" fillId="0" borderId="182" xfId="3" applyFont="1" applyBorder="1" applyAlignment="1">
      <alignment horizontal="center" vertical="center" wrapText="1"/>
    </xf>
    <xf numFmtId="0" fontId="63" fillId="0" borderId="126" xfId="3" applyFont="1" applyBorder="1" applyAlignment="1">
      <alignment horizontal="center" vertical="center" wrapText="1"/>
    </xf>
    <xf numFmtId="0" fontId="63" fillId="0" borderId="72" xfId="3" applyFont="1" applyBorder="1" applyAlignment="1">
      <alignment horizontal="center" vertical="center" wrapText="1"/>
    </xf>
    <xf numFmtId="0" fontId="64" fillId="0" borderId="185" xfId="3" applyFont="1" applyBorder="1" applyAlignment="1">
      <alignment horizontal="center" vertical="center" wrapText="1"/>
    </xf>
    <xf numFmtId="0" fontId="64" fillId="0" borderId="186" xfId="3" applyFont="1" applyBorder="1" applyAlignment="1">
      <alignment horizontal="center" vertical="center" wrapText="1"/>
    </xf>
    <xf numFmtId="0" fontId="63" fillId="30" borderId="66" xfId="3" applyFont="1" applyFill="1" applyBorder="1" applyAlignment="1">
      <alignment vertical="center" wrapText="1"/>
    </xf>
    <xf numFmtId="0" fontId="63" fillId="30" borderId="66" xfId="3" applyFont="1" applyFill="1" applyBorder="1" applyAlignment="1">
      <alignment horizontal="center" vertical="center" wrapText="1"/>
    </xf>
    <xf numFmtId="0" fontId="63" fillId="0" borderId="187" xfId="3" applyFont="1" applyBorder="1" applyAlignment="1">
      <alignment horizontal="center" vertical="center" wrapText="1"/>
    </xf>
    <xf numFmtId="0" fontId="63" fillId="0" borderId="179" xfId="3" applyFont="1" applyBorder="1" applyAlignment="1">
      <alignment horizontal="center" vertical="center" wrapText="1"/>
    </xf>
    <xf numFmtId="0" fontId="63" fillId="0" borderId="8" xfId="3" applyFont="1" applyBorder="1" applyAlignment="1">
      <alignment horizontal="center" vertical="center" wrapText="1"/>
    </xf>
    <xf numFmtId="0" fontId="63" fillId="0" borderId="177" xfId="3" applyFont="1" applyBorder="1" applyAlignment="1">
      <alignment horizontal="center" vertical="center" wrapText="1"/>
    </xf>
    <xf numFmtId="0" fontId="63" fillId="0" borderId="183" xfId="3" applyFont="1" applyBorder="1" applyAlignment="1">
      <alignment horizontal="center" vertical="center" wrapText="1"/>
    </xf>
    <xf numFmtId="0" fontId="63" fillId="0" borderId="184" xfId="3" applyFont="1" applyBorder="1" applyAlignment="1">
      <alignment horizontal="center" vertical="center" wrapText="1"/>
    </xf>
    <xf numFmtId="0" fontId="63" fillId="0" borderId="178" xfId="3" applyFont="1" applyBorder="1" applyAlignment="1">
      <alignment horizontal="center" vertical="center" wrapText="1"/>
    </xf>
    <xf numFmtId="0" fontId="63" fillId="0" borderId="181" xfId="3" applyFont="1" applyBorder="1" applyAlignment="1">
      <alignment horizontal="center" vertical="center" wrapText="1"/>
    </xf>
    <xf numFmtId="0" fontId="63" fillId="0" borderId="153" xfId="3" applyFont="1" applyBorder="1" applyAlignment="1">
      <alignment horizontal="center" vertical="center" wrapText="1"/>
    </xf>
    <xf numFmtId="0" fontId="63" fillId="0" borderId="66" xfId="3" applyFont="1" applyBorder="1" applyAlignment="1">
      <alignment horizontal="center" vertical="center" wrapText="1"/>
    </xf>
    <xf numFmtId="0" fontId="56" fillId="10" borderId="69" xfId="21" applyFont="1" applyFill="1" applyBorder="1" applyAlignment="1">
      <alignment horizontal="center" vertical="center" wrapText="1"/>
    </xf>
    <xf numFmtId="0" fontId="56" fillId="38" borderId="69" xfId="21" applyFont="1" applyFill="1" applyBorder="1" applyAlignment="1">
      <alignment horizontal="center" vertical="center"/>
    </xf>
    <xf numFmtId="0" fontId="56" fillId="38" borderId="69" xfId="21" applyFont="1" applyFill="1" applyBorder="1" applyAlignment="1">
      <alignment horizontal="center" vertical="center" wrapText="1"/>
    </xf>
    <xf numFmtId="0" fontId="42" fillId="0" borderId="167" xfId="0" applyFont="1" applyBorder="1" applyAlignment="1">
      <alignment horizontal="left" vertical="top" wrapText="1"/>
    </xf>
    <xf numFmtId="0" fontId="42" fillId="0" borderId="7" xfId="0" applyFont="1" applyBorder="1" applyAlignment="1">
      <alignment horizontal="left" vertical="top" wrapText="1"/>
    </xf>
    <xf numFmtId="0" fontId="42" fillId="0" borderId="147" xfId="0" applyFont="1" applyBorder="1" applyAlignment="1">
      <alignment horizontal="left" vertical="top" wrapText="1"/>
    </xf>
    <xf numFmtId="0" fontId="42" fillId="0" borderId="8" xfId="0" applyFont="1" applyBorder="1" applyAlignment="1">
      <alignment horizontal="left" vertical="top" wrapText="1"/>
    </xf>
    <xf numFmtId="0" fontId="42" fillId="0" borderId="0" xfId="0" applyFont="1" applyAlignment="1">
      <alignment horizontal="left" vertical="top" wrapText="1"/>
    </xf>
    <xf numFmtId="0" fontId="42" fillId="0" borderId="3" xfId="0" applyFont="1" applyBorder="1" applyAlignment="1">
      <alignment horizontal="left" vertical="top" wrapText="1"/>
    </xf>
    <xf numFmtId="0" fontId="42" fillId="0" borderId="105" xfId="0" applyFont="1" applyBorder="1" applyAlignment="1">
      <alignment horizontal="left" vertical="top" wrapText="1"/>
    </xf>
    <xf numFmtId="0" fontId="42" fillId="0" borderId="149" xfId="0" applyFont="1" applyBorder="1" applyAlignment="1">
      <alignment horizontal="left" vertical="top" wrapText="1"/>
    </xf>
    <xf numFmtId="0" fontId="42" fillId="0" borderId="137" xfId="0" applyFont="1" applyBorder="1" applyAlignment="1">
      <alignment horizontal="left" vertical="top" wrapText="1"/>
    </xf>
    <xf numFmtId="0" fontId="42" fillId="0" borderId="43" xfId="0" applyFont="1" applyBorder="1" applyAlignment="1">
      <alignment horizontal="left"/>
    </xf>
    <xf numFmtId="0" fontId="42" fillId="0" borderId="55" xfId="0" applyFont="1" applyBorder="1" applyAlignment="1">
      <alignment horizontal="left"/>
    </xf>
    <xf numFmtId="0" fontId="42" fillId="0" borderId="44" xfId="0" applyFont="1" applyBorder="1" applyAlignment="1">
      <alignment horizontal="left"/>
    </xf>
    <xf numFmtId="0" fontId="42" fillId="0" borderId="57" xfId="0" applyFont="1" applyBorder="1" applyAlignment="1">
      <alignment horizontal="left"/>
    </xf>
    <xf numFmtId="0" fontId="35" fillId="0" borderId="40" xfId="0" applyFont="1" applyBorder="1" applyAlignment="1">
      <alignment horizontal="left" vertical="center"/>
    </xf>
    <xf numFmtId="0" fontId="35" fillId="0" borderId="9" xfId="0" applyFont="1" applyBorder="1" applyAlignment="1">
      <alignment horizontal="left" vertical="center"/>
    </xf>
    <xf numFmtId="0" fontId="35" fillId="0" borderId="18" xfId="0" applyFont="1" applyBorder="1" applyAlignment="1">
      <alignment horizontal="left" vertical="center"/>
    </xf>
    <xf numFmtId="0" fontId="42" fillId="0" borderId="8" xfId="0" applyFont="1" applyBorder="1" applyAlignment="1">
      <alignment horizontal="left"/>
    </xf>
    <xf numFmtId="0" fontId="42" fillId="0" borderId="0" xfId="0" applyFont="1" applyAlignment="1">
      <alignment horizontal="left"/>
    </xf>
    <xf numFmtId="0" fontId="42" fillId="0" borderId="42" xfId="0" applyFont="1" applyBorder="1" applyAlignment="1">
      <alignment horizontal="left"/>
    </xf>
    <xf numFmtId="0" fontId="42" fillId="0" borderId="56" xfId="0" applyFont="1" applyBorder="1" applyAlignment="1">
      <alignment horizontal="left"/>
    </xf>
    <xf numFmtId="0" fontId="42" fillId="9" borderId="43" xfId="0" applyFont="1" applyFill="1" applyBorder="1" applyAlignment="1">
      <alignment horizontal="left"/>
    </xf>
    <xf numFmtId="0" fontId="42" fillId="9" borderId="55" xfId="0" applyFont="1" applyFill="1" applyBorder="1" applyAlignment="1">
      <alignment horizontal="left"/>
    </xf>
    <xf numFmtId="0" fontId="40" fillId="27" borderId="138" xfId="0" applyFont="1" applyFill="1" applyBorder="1" applyAlignment="1">
      <alignment horizontal="center"/>
    </xf>
    <xf numFmtId="0" fontId="40" fillId="27" borderId="22" xfId="0" applyFont="1" applyFill="1" applyBorder="1" applyAlignment="1">
      <alignment horizontal="center"/>
    </xf>
    <xf numFmtId="0" fontId="40" fillId="27" borderId="23" xfId="0" applyFont="1" applyFill="1" applyBorder="1" applyAlignment="1">
      <alignment horizontal="center"/>
    </xf>
    <xf numFmtId="0" fontId="42" fillId="0" borderId="167" xfId="0" applyFont="1" applyBorder="1" applyAlignment="1">
      <alignment horizontal="left"/>
    </xf>
    <xf numFmtId="0" fontId="42" fillId="0" borderId="7" xfId="0" applyFont="1" applyBorder="1" applyAlignment="1">
      <alignment horizontal="left"/>
    </xf>
    <xf numFmtId="0" fontId="40" fillId="27" borderId="167" xfId="0" applyFont="1" applyFill="1" applyBorder="1" applyAlignment="1">
      <alignment horizontal="center" vertical="center" wrapText="1"/>
    </xf>
    <xf numFmtId="0" fontId="40" fillId="27" borderId="7" xfId="0" applyFont="1" applyFill="1" applyBorder="1" applyAlignment="1">
      <alignment horizontal="center" vertical="center" wrapText="1"/>
    </xf>
    <xf numFmtId="0" fontId="40" fillId="27" borderId="105" xfId="0" applyFont="1" applyFill="1" applyBorder="1" applyAlignment="1">
      <alignment horizontal="center" vertical="center" wrapText="1"/>
    </xf>
    <xf numFmtId="0" fontId="40" fillId="27" borderId="149" xfId="0" applyFont="1" applyFill="1" applyBorder="1" applyAlignment="1">
      <alignment horizontal="center" vertical="center" wrapText="1"/>
    </xf>
    <xf numFmtId="0" fontId="42" fillId="0" borderId="39" xfId="0" applyFont="1" applyBorder="1" applyAlignment="1">
      <alignment horizontal="left"/>
    </xf>
    <xf numFmtId="0" fontId="42" fillId="0" borderId="35" xfId="0" applyFont="1" applyBorder="1" applyAlignment="1">
      <alignment horizontal="left"/>
    </xf>
    <xf numFmtId="0" fontId="42" fillId="0" borderId="37" xfId="0" applyFont="1" applyBorder="1" applyAlignment="1">
      <alignment horizontal="left"/>
    </xf>
    <xf numFmtId="0" fontId="42" fillId="0" borderId="47" xfId="0" applyFont="1" applyBorder="1" applyAlignment="1">
      <alignment horizontal="left"/>
    </xf>
    <xf numFmtId="0" fontId="42" fillId="0" borderId="41" xfId="0" applyFont="1" applyBorder="1" applyAlignment="1">
      <alignment horizontal="left"/>
    </xf>
    <xf numFmtId="0" fontId="35" fillId="0" borderId="46" xfId="0" applyFont="1" applyBorder="1" applyAlignment="1">
      <alignment horizontal="left" vertical="center"/>
    </xf>
    <xf numFmtId="0" fontId="42" fillId="0" borderId="3" xfId="0" applyFont="1" applyBorder="1" applyAlignment="1">
      <alignment horizontal="left"/>
    </xf>
    <xf numFmtId="0" fontId="42" fillId="0" borderId="147" xfId="0" applyFont="1" applyBorder="1" applyAlignment="1">
      <alignment horizontal="left"/>
    </xf>
    <xf numFmtId="0" fontId="40" fillId="27" borderId="147" xfId="0" applyFont="1" applyFill="1" applyBorder="1" applyAlignment="1">
      <alignment horizontal="center" vertical="center" wrapText="1"/>
    </xf>
    <xf numFmtId="0" fontId="40" fillId="27" borderId="137" xfId="0" applyFont="1" applyFill="1" applyBorder="1" applyAlignment="1">
      <alignment horizontal="center" vertical="center" wrapText="1"/>
    </xf>
    <xf numFmtId="0" fontId="40" fillId="27" borderId="25" xfId="0" applyFont="1" applyFill="1" applyBorder="1" applyAlignment="1">
      <alignment horizontal="center"/>
    </xf>
    <xf numFmtId="0" fontId="40" fillId="27" borderId="26" xfId="0" applyFont="1" applyFill="1" applyBorder="1" applyAlignment="1">
      <alignment horizontal="center"/>
    </xf>
    <xf numFmtId="0" fontId="40" fillId="27" borderId="24" xfId="0" applyFont="1" applyFill="1" applyBorder="1" applyAlignment="1">
      <alignment horizontal="center"/>
    </xf>
    <xf numFmtId="0" fontId="62" fillId="0" borderId="69" xfId="26" applyFont="1" applyBorder="1" applyAlignment="1">
      <alignment horizontal="center"/>
    </xf>
    <xf numFmtId="0" fontId="61" fillId="27" borderId="154" xfId="0" applyFont="1" applyFill="1" applyBorder="1" applyAlignment="1">
      <alignment horizontal="center" vertical="center" wrapText="1"/>
    </xf>
    <xf numFmtId="0" fontId="61" fillId="27" borderId="147" xfId="0" applyFont="1" applyFill="1" applyBorder="1" applyAlignment="1">
      <alignment horizontal="center" vertical="center" wrapText="1"/>
    </xf>
    <xf numFmtId="0" fontId="61" fillId="27" borderId="8" xfId="0" applyFont="1" applyFill="1" applyBorder="1" applyAlignment="1">
      <alignment horizontal="center" vertical="center" wrapText="1"/>
    </xf>
    <xf numFmtId="0" fontId="61" fillId="27" borderId="3" xfId="0" applyFont="1" applyFill="1" applyBorder="1" applyAlignment="1">
      <alignment horizontal="center" vertical="center" wrapText="1"/>
    </xf>
    <xf numFmtId="0" fontId="63" fillId="0" borderId="14" xfId="0" applyFont="1" applyBorder="1" applyAlignment="1">
      <alignment horizontal="center" vertical="center"/>
    </xf>
    <xf numFmtId="0" fontId="63" fillId="0" borderId="63" xfId="0" applyFont="1" applyBorder="1" applyAlignment="1">
      <alignment horizontal="center" vertical="center"/>
    </xf>
    <xf numFmtId="0" fontId="63" fillId="0" borderId="62" xfId="0" applyFont="1" applyBorder="1" applyAlignment="1">
      <alignment horizontal="center" vertical="center"/>
    </xf>
    <xf numFmtId="0" fontId="62" fillId="0" borderId="11" xfId="0" applyFont="1" applyBorder="1" applyAlignment="1">
      <alignment horizontal="left" wrapText="1"/>
    </xf>
    <xf numFmtId="0" fontId="61" fillId="27" borderId="24" xfId="0" applyFont="1" applyFill="1" applyBorder="1" applyAlignment="1">
      <alignment horizontal="center" wrapText="1"/>
    </xf>
    <xf numFmtId="0" fontId="61" fillId="27" borderId="25" xfId="0" applyFont="1" applyFill="1" applyBorder="1" applyAlignment="1">
      <alignment horizontal="center"/>
    </xf>
    <xf numFmtId="0" fontId="61" fillId="27" borderId="26" xfId="0" applyFont="1" applyFill="1" applyBorder="1" applyAlignment="1">
      <alignment horizontal="center"/>
    </xf>
    <xf numFmtId="0" fontId="71" fillId="0" borderId="15" xfId="0" applyFont="1" applyBorder="1" applyAlignment="1">
      <alignment horizontal="center" vertical="center"/>
    </xf>
    <xf numFmtId="0" fontId="71" fillId="0" borderId="71" xfId="0" applyFont="1" applyBorder="1" applyAlignment="1">
      <alignment horizontal="center" vertical="center"/>
    </xf>
    <xf numFmtId="0" fontId="71" fillId="0" borderId="63" xfId="0" applyFont="1" applyBorder="1" applyAlignment="1">
      <alignment horizontal="center" vertical="center"/>
    </xf>
    <xf numFmtId="0" fontId="61" fillId="27" borderId="163" xfId="0" applyFont="1" applyFill="1" applyBorder="1" applyAlignment="1">
      <alignment horizontal="center"/>
    </xf>
    <xf numFmtId="0" fontId="61" fillId="27" borderId="22" xfId="0" applyFont="1" applyFill="1" applyBorder="1" applyAlignment="1">
      <alignment horizontal="center"/>
    </xf>
    <xf numFmtId="0" fontId="61" fillId="27" borderId="23" xfId="0" applyFont="1" applyFill="1" applyBorder="1" applyAlignment="1">
      <alignment horizontal="center"/>
    </xf>
    <xf numFmtId="0" fontId="71" fillId="16" borderId="69" xfId="0" applyFont="1" applyFill="1" applyBorder="1" applyAlignment="1">
      <alignment horizontal="left"/>
    </xf>
    <xf numFmtId="0" fontId="71" fillId="0" borderId="69" xfId="0" applyFont="1" applyBorder="1" applyAlignment="1">
      <alignment horizontal="left"/>
    </xf>
    <xf numFmtId="0" fontId="61" fillId="41" borderId="154" xfId="39" applyFont="1" applyFill="1" applyBorder="1" applyAlignment="1">
      <alignment horizontal="center" vertical="center"/>
    </xf>
    <xf numFmtId="0" fontId="61" fillId="41" borderId="7" xfId="39" applyFont="1" applyFill="1" applyBorder="1" applyAlignment="1">
      <alignment horizontal="center" vertical="center"/>
    </xf>
    <xf numFmtId="0" fontId="61" fillId="41" borderId="147" xfId="39" applyFont="1" applyFill="1" applyBorder="1" applyAlignment="1">
      <alignment horizontal="center" vertical="center"/>
    </xf>
    <xf numFmtId="0" fontId="71" fillId="10" borderId="42" xfId="0" applyFont="1" applyFill="1" applyBorder="1" applyAlignment="1">
      <alignment horizontal="left" wrapText="1"/>
    </xf>
    <xf numFmtId="0" fontId="71" fillId="10" borderId="39" xfId="0" applyFont="1" applyFill="1" applyBorder="1" applyAlignment="1">
      <alignment horizontal="left"/>
    </xf>
    <xf numFmtId="0" fontId="71" fillId="16" borderId="43" xfId="0" applyFont="1" applyFill="1" applyBorder="1" applyAlignment="1">
      <alignment horizontal="left"/>
    </xf>
    <xf numFmtId="0" fontId="71" fillId="16" borderId="41" xfId="0" applyFont="1" applyFill="1" applyBorder="1" applyAlignment="1">
      <alignment horizontal="left"/>
    </xf>
    <xf numFmtId="0" fontId="71" fillId="10" borderId="43" xfId="0" applyFont="1" applyFill="1" applyBorder="1" applyAlignment="1">
      <alignment horizontal="left"/>
    </xf>
    <xf numFmtId="0" fontId="71" fillId="10" borderId="41" xfId="0" applyFont="1" applyFill="1" applyBorder="1" applyAlignment="1">
      <alignment horizontal="left"/>
    </xf>
    <xf numFmtId="0" fontId="71" fillId="0" borderId="43" xfId="0" applyFont="1" applyBorder="1" applyAlignment="1">
      <alignment horizontal="left"/>
    </xf>
    <xf numFmtId="0" fontId="71" fillId="0" borderId="41" xfId="0" applyFont="1" applyBorder="1" applyAlignment="1">
      <alignment horizontal="left"/>
    </xf>
    <xf numFmtId="0" fontId="62" fillId="0" borderId="17" xfId="26" applyFont="1" applyBorder="1" applyAlignment="1">
      <alignment horizontal="left" vertical="center"/>
    </xf>
    <xf numFmtId="0" fontId="62" fillId="0" borderId="70" xfId="26" applyFont="1" applyBorder="1" applyAlignment="1">
      <alignment horizontal="left" vertical="center"/>
    </xf>
    <xf numFmtId="0" fontId="62" fillId="0" borderId="60" xfId="26" applyFont="1" applyBorder="1" applyAlignment="1">
      <alignment horizontal="left" vertical="center"/>
    </xf>
    <xf numFmtId="0" fontId="64" fillId="9" borderId="15" xfId="26" applyFont="1" applyFill="1" applyBorder="1" applyAlignment="1">
      <alignment horizontal="center" vertical="center"/>
    </xf>
    <xf numFmtId="0" fontId="64" fillId="9" borderId="16" xfId="26" applyFont="1" applyFill="1" applyBorder="1" applyAlignment="1">
      <alignment horizontal="center" vertical="center"/>
    </xf>
    <xf numFmtId="0" fontId="64" fillId="9" borderId="71" xfId="26" applyFont="1" applyFill="1" applyBorder="1" applyAlignment="1">
      <alignment horizontal="center" vertical="center"/>
    </xf>
    <xf numFmtId="0" fontId="64" fillId="9" borderId="61" xfId="26" applyFont="1" applyFill="1" applyBorder="1" applyAlignment="1">
      <alignment horizontal="center" vertical="center"/>
    </xf>
    <xf numFmtId="0" fontId="71" fillId="0" borderId="74" xfId="0" applyFont="1" applyBorder="1" applyAlignment="1">
      <alignment horizontal="left" vertical="top" wrapText="1"/>
    </xf>
    <xf numFmtId="0" fontId="71" fillId="0" borderId="76" xfId="0" applyFont="1" applyBorder="1" applyAlignment="1">
      <alignment horizontal="left" vertical="top"/>
    </xf>
    <xf numFmtId="0" fontId="62" fillId="0" borderId="0" xfId="0" applyFont="1" applyAlignment="1">
      <alignment horizontal="left" vertical="top" wrapText="1"/>
    </xf>
    <xf numFmtId="0" fontId="71" fillId="0" borderId="44" xfId="0" applyFont="1" applyBorder="1" applyAlignment="1">
      <alignment horizontal="left" vertical="top" wrapText="1"/>
    </xf>
    <xf numFmtId="0" fontId="71" fillId="0" borderId="57" xfId="0" applyFont="1" applyBorder="1" applyAlignment="1">
      <alignment horizontal="left" vertical="top" wrapText="1"/>
    </xf>
    <xf numFmtId="0" fontId="61" fillId="41" borderId="164" xfId="39" applyFont="1" applyFill="1" applyBorder="1" applyAlignment="1">
      <alignment horizontal="center" vertical="center"/>
    </xf>
    <xf numFmtId="0" fontId="61" fillId="41" borderId="21" xfId="39" applyFont="1" applyFill="1" applyBorder="1" applyAlignment="1">
      <alignment horizontal="center" vertical="center"/>
    </xf>
    <xf numFmtId="0" fontId="64" fillId="9" borderId="74" xfId="26" applyFont="1" applyFill="1" applyBorder="1" applyAlignment="1">
      <alignment horizontal="center" vertical="center"/>
    </xf>
    <xf numFmtId="0" fontId="64" fillId="9" borderId="75" xfId="26" applyFont="1" applyFill="1" applyBorder="1" applyAlignment="1">
      <alignment horizontal="center" vertical="center"/>
    </xf>
    <xf numFmtId="0" fontId="64" fillId="9" borderId="76" xfId="26" applyFont="1" applyFill="1" applyBorder="1" applyAlignment="1">
      <alignment horizontal="center" vertical="center"/>
    </xf>
    <xf numFmtId="0" fontId="64" fillId="9" borderId="17" xfId="26" applyFont="1" applyFill="1" applyBorder="1" applyAlignment="1">
      <alignment horizontal="center" vertical="center" wrapText="1"/>
    </xf>
    <xf numFmtId="0" fontId="64" fillId="9" borderId="60" xfId="26" applyFont="1" applyFill="1" applyBorder="1" applyAlignment="1">
      <alignment horizontal="center" vertical="center" wrapText="1"/>
    </xf>
    <xf numFmtId="0" fontId="62" fillId="0" borderId="69" xfId="26" applyFont="1" applyBorder="1" applyAlignment="1">
      <alignment horizontal="left" vertical="center" wrapText="1"/>
    </xf>
    <xf numFmtId="0" fontId="62" fillId="0" borderId="60" xfId="26" applyFont="1" applyBorder="1" applyAlignment="1">
      <alignment horizontal="left" vertical="center" wrapText="1"/>
    </xf>
    <xf numFmtId="0" fontId="70" fillId="0" borderId="0" xfId="26" applyFont="1" applyAlignment="1">
      <alignment horizontal="center" vertical="center" textRotation="180"/>
    </xf>
    <xf numFmtId="0" fontId="70" fillId="0" borderId="62" xfId="26" applyFont="1" applyBorder="1" applyAlignment="1">
      <alignment horizontal="center" vertical="center" textRotation="180"/>
    </xf>
    <xf numFmtId="0" fontId="70" fillId="0" borderId="14" xfId="26" applyFont="1" applyBorder="1" applyAlignment="1">
      <alignment horizontal="center" vertical="center" textRotation="180"/>
    </xf>
    <xf numFmtId="0" fontId="70" fillId="0" borderId="14" xfId="26" applyFont="1" applyBorder="1" applyAlignment="1">
      <alignment horizontal="center" textRotation="180"/>
    </xf>
    <xf numFmtId="0" fontId="70" fillId="0" borderId="0" xfId="26" applyFont="1" applyAlignment="1">
      <alignment horizontal="center" textRotation="180"/>
    </xf>
    <xf numFmtId="0" fontId="70" fillId="0" borderId="62" xfId="26" applyFont="1" applyBorder="1" applyAlignment="1">
      <alignment horizontal="center" textRotation="180"/>
    </xf>
    <xf numFmtId="0" fontId="70" fillId="9" borderId="69" xfId="26" applyFont="1" applyFill="1" applyBorder="1" applyAlignment="1">
      <alignment horizontal="center" vertical="center"/>
    </xf>
    <xf numFmtId="0" fontId="70" fillId="9" borderId="74" xfId="26" applyFont="1" applyFill="1" applyBorder="1" applyAlignment="1">
      <alignment horizontal="center" vertical="center" wrapText="1"/>
    </xf>
    <xf numFmtId="0" fontId="70" fillId="9" borderId="75" xfId="26" applyFont="1" applyFill="1" applyBorder="1" applyAlignment="1">
      <alignment horizontal="center" vertical="center" wrapText="1"/>
    </xf>
    <xf numFmtId="0" fontId="70" fillId="9" borderId="76" xfId="26" applyFont="1" applyFill="1" applyBorder="1" applyAlignment="1">
      <alignment horizontal="center" vertical="center" wrapText="1"/>
    </xf>
    <xf numFmtId="0" fontId="70" fillId="9" borderId="17" xfId="26" applyFont="1" applyFill="1" applyBorder="1" applyAlignment="1">
      <alignment horizontal="center" vertical="center"/>
    </xf>
    <xf numFmtId="0" fontId="70" fillId="9" borderId="60" xfId="26" applyFont="1" applyFill="1" applyBorder="1" applyAlignment="1">
      <alignment horizontal="center" vertical="center"/>
    </xf>
    <xf numFmtId="0" fontId="64" fillId="23" borderId="0" xfId="26" applyFont="1" applyFill="1" applyAlignment="1">
      <alignment horizontal="center" vertical="center"/>
    </xf>
    <xf numFmtId="0" fontId="70" fillId="23" borderId="0" xfId="26" applyFont="1" applyFill="1" applyAlignment="1">
      <alignment horizontal="center"/>
    </xf>
    <xf numFmtId="0" fontId="70" fillId="23" borderId="0" xfId="26" applyFont="1" applyFill="1" applyAlignment="1">
      <alignment horizontal="center" vertical="center" wrapText="1"/>
    </xf>
    <xf numFmtId="0" fontId="70" fillId="26" borderId="69" xfId="49" applyFont="1" applyFill="1" applyBorder="1" applyAlignment="1">
      <alignment horizontal="left"/>
    </xf>
    <xf numFmtId="0" fontId="62" fillId="10" borderId="74" xfId="49" applyFont="1" applyFill="1" applyBorder="1" applyAlignment="1">
      <alignment horizontal="left" vertical="top"/>
    </xf>
    <xf numFmtId="0" fontId="62" fillId="10" borderId="75" xfId="49" applyFont="1" applyFill="1" applyBorder="1" applyAlignment="1">
      <alignment horizontal="left" vertical="top"/>
    </xf>
    <xf numFmtId="0" fontId="62" fillId="10" borderId="76" xfId="49" applyFont="1" applyFill="1" applyBorder="1" applyAlignment="1">
      <alignment horizontal="left" vertical="top"/>
    </xf>
    <xf numFmtId="0" fontId="62" fillId="10" borderId="69" xfId="49" applyFont="1" applyFill="1" applyBorder="1" applyAlignment="1">
      <alignment horizontal="left" vertical="top" wrapText="1"/>
    </xf>
    <xf numFmtId="0" fontId="61" fillId="56" borderId="69" xfId="21" applyFont="1" applyFill="1" applyBorder="1" applyAlignment="1">
      <alignment horizontal="center" vertical="center"/>
    </xf>
    <xf numFmtId="0" fontId="62" fillId="0" borderId="69" xfId="3" applyFont="1" applyBorder="1" applyAlignment="1">
      <alignment horizontal="center" vertical="center"/>
    </xf>
    <xf numFmtId="0" fontId="62" fillId="9" borderId="74" xfId="49" applyFont="1" applyFill="1" applyBorder="1" applyAlignment="1">
      <alignment horizontal="center" vertical="center"/>
    </xf>
    <xf numFmtId="0" fontId="62" fillId="9" borderId="76" xfId="49" applyFont="1" applyFill="1" applyBorder="1" applyAlignment="1">
      <alignment horizontal="center" vertical="center"/>
    </xf>
    <xf numFmtId="0" fontId="70" fillId="9" borderId="17" xfId="49" applyFont="1" applyFill="1" applyBorder="1" applyAlignment="1">
      <alignment horizontal="center" vertical="center"/>
    </xf>
    <xf numFmtId="0" fontId="70" fillId="9" borderId="60" xfId="49" applyFont="1" applyFill="1" applyBorder="1" applyAlignment="1">
      <alignment horizontal="center" vertical="center"/>
    </xf>
    <xf numFmtId="0" fontId="70" fillId="9" borderId="69" xfId="49" applyFont="1" applyFill="1" applyBorder="1" applyAlignment="1">
      <alignment horizontal="center" vertical="top"/>
    </xf>
    <xf numFmtId="0" fontId="63" fillId="15" borderId="69" xfId="3" applyFont="1" applyFill="1" applyBorder="1" applyAlignment="1">
      <alignment horizontal="center" vertical="center" wrapText="1"/>
    </xf>
    <xf numFmtId="0" fontId="61" fillId="6" borderId="15" xfId="21" applyFont="1" applyFill="1" applyBorder="1" applyAlignment="1">
      <alignment horizontal="center" vertical="center"/>
    </xf>
    <xf numFmtId="0" fontId="61" fillId="6" borderId="63" xfId="21" applyFont="1" applyFill="1" applyBorder="1" applyAlignment="1">
      <alignment horizontal="center" vertical="center"/>
    </xf>
    <xf numFmtId="0" fontId="61" fillId="6" borderId="14" xfId="21" applyFont="1" applyFill="1" applyBorder="1" applyAlignment="1">
      <alignment horizontal="center" vertical="center"/>
    </xf>
    <xf numFmtId="0" fontId="61" fillId="6" borderId="71" xfId="21" applyFont="1" applyFill="1" applyBorder="1" applyAlignment="1">
      <alignment horizontal="center" vertical="center"/>
    </xf>
    <xf numFmtId="0" fontId="61" fillId="6" borderId="0" xfId="21" applyFont="1" applyFill="1" applyAlignment="1">
      <alignment horizontal="center" vertical="center"/>
    </xf>
    <xf numFmtId="0" fontId="62" fillId="0" borderId="0" xfId="21" applyFont="1" applyAlignment="1">
      <alignment horizontal="left" vertical="center" wrapText="1"/>
    </xf>
    <xf numFmtId="0" fontId="61" fillId="6" borderId="17" xfId="21" applyFont="1" applyFill="1" applyBorder="1" applyAlignment="1">
      <alignment horizontal="center" vertical="center" wrapText="1"/>
    </xf>
    <xf numFmtId="0" fontId="61" fillId="6" borderId="70" xfId="21" applyFont="1" applyFill="1" applyBorder="1" applyAlignment="1">
      <alignment horizontal="center" vertical="center" wrapText="1"/>
    </xf>
    <xf numFmtId="0" fontId="68" fillId="29" borderId="0" xfId="21" applyFont="1" applyFill="1" applyAlignment="1">
      <alignment horizontal="center" wrapText="1"/>
    </xf>
    <xf numFmtId="0" fontId="87" fillId="29" borderId="0" xfId="21" applyFont="1" applyFill="1" applyAlignment="1">
      <alignment horizontal="center"/>
    </xf>
    <xf numFmtId="0" fontId="87" fillId="29" borderId="2" xfId="21" applyFont="1" applyFill="1" applyBorder="1" applyAlignment="1">
      <alignment horizontal="center"/>
    </xf>
    <xf numFmtId="0" fontId="80" fillId="6" borderId="14" xfId="21" applyFont="1" applyFill="1" applyBorder="1" applyAlignment="1">
      <alignment horizontal="center" vertical="center" wrapText="1"/>
    </xf>
    <xf numFmtId="0" fontId="80" fillId="6" borderId="14" xfId="21" applyFont="1" applyFill="1" applyBorder="1" applyAlignment="1">
      <alignment horizontal="center" vertical="center"/>
    </xf>
    <xf numFmtId="0" fontId="80" fillId="6" borderId="16" xfId="21" applyFont="1" applyFill="1" applyBorder="1" applyAlignment="1">
      <alignment horizontal="center" vertical="center"/>
    </xf>
    <xf numFmtId="0" fontId="61" fillId="6" borderId="14" xfId="21" applyFont="1" applyFill="1" applyBorder="1" applyAlignment="1">
      <alignment horizontal="center" vertical="center" wrapText="1"/>
    </xf>
    <xf numFmtId="0" fontId="61" fillId="6" borderId="16" xfId="21" applyFont="1" applyFill="1" applyBorder="1" applyAlignment="1">
      <alignment horizontal="center" vertical="center" wrapText="1"/>
    </xf>
    <xf numFmtId="0" fontId="61" fillId="6" borderId="16" xfId="21" applyFont="1" applyFill="1" applyBorder="1" applyAlignment="1">
      <alignment horizontal="center" vertical="center"/>
    </xf>
    <xf numFmtId="0" fontId="68" fillId="29" borderId="0" xfId="21" applyFont="1" applyFill="1" applyAlignment="1">
      <alignment horizontal="center"/>
    </xf>
    <xf numFmtId="0" fontId="67" fillId="29" borderId="71" xfId="21" applyFont="1" applyFill="1" applyBorder="1" applyAlignment="1">
      <alignment horizontal="center"/>
    </xf>
    <xf numFmtId="0" fontId="95" fillId="29" borderId="0" xfId="21" applyFont="1" applyFill="1" applyAlignment="1">
      <alignment horizontal="center"/>
    </xf>
    <xf numFmtId="0" fontId="95" fillId="29" borderId="2" xfId="21" applyFont="1" applyFill="1" applyBorder="1" applyAlignment="1">
      <alignment horizontal="center"/>
    </xf>
    <xf numFmtId="0" fontId="62" fillId="0" borderId="17" xfId="21" applyFont="1" applyBorder="1" applyAlignment="1">
      <alignment horizontal="center" vertical="center"/>
    </xf>
    <xf numFmtId="0" fontId="62" fillId="0" borderId="70" xfId="21" applyFont="1" applyBorder="1" applyAlignment="1">
      <alignment horizontal="center" vertical="center"/>
    </xf>
    <xf numFmtId="0" fontId="62" fillId="0" borderId="60" xfId="21" applyFont="1" applyBorder="1" applyAlignment="1">
      <alignment horizontal="center" vertical="center"/>
    </xf>
    <xf numFmtId="0" fontId="61" fillId="6" borderId="2" xfId="21" applyFont="1" applyFill="1" applyBorder="1" applyAlignment="1">
      <alignment horizontal="center" vertical="center"/>
    </xf>
    <xf numFmtId="0" fontId="62" fillId="0" borderId="17" xfId="21" applyFont="1" applyBorder="1" applyAlignment="1">
      <alignment horizontal="center" vertical="center" wrapText="1"/>
    </xf>
    <xf numFmtId="0" fontId="62" fillId="0" borderId="70" xfId="21" applyFont="1" applyBorder="1" applyAlignment="1">
      <alignment horizontal="center" vertical="center" wrapText="1"/>
    </xf>
    <xf numFmtId="0" fontId="62" fillId="0" borderId="60" xfId="21" applyFont="1" applyBorder="1" applyAlignment="1">
      <alignment horizontal="center" vertical="center" wrapText="1"/>
    </xf>
    <xf numFmtId="0" fontId="27" fillId="7" borderId="15" xfId="0" applyFont="1" applyFill="1" applyBorder="1" applyAlignment="1">
      <alignment horizontal="center" vertical="center"/>
    </xf>
    <xf numFmtId="0" fontId="27" fillId="7" borderId="14" xfId="0" applyFont="1" applyFill="1" applyBorder="1" applyAlignment="1">
      <alignment horizontal="center" vertical="center"/>
    </xf>
    <xf numFmtId="0" fontId="27" fillId="28" borderId="15" xfId="0" applyFont="1" applyFill="1" applyBorder="1" applyAlignment="1">
      <alignment horizontal="center" vertical="center"/>
    </xf>
    <xf numFmtId="0" fontId="27" fillId="28" borderId="14" xfId="0" applyFont="1" applyFill="1" applyBorder="1" applyAlignment="1">
      <alignment horizontal="center" vertical="center"/>
    </xf>
    <xf numFmtId="0" fontId="27" fillId="28" borderId="16" xfId="0" applyFont="1" applyFill="1" applyBorder="1" applyAlignment="1">
      <alignment horizontal="center" vertical="center"/>
    </xf>
    <xf numFmtId="0" fontId="33" fillId="0" borderId="71" xfId="0" applyFont="1" applyBorder="1" applyAlignment="1">
      <alignment horizontal="left"/>
    </xf>
    <xf numFmtId="0" fontId="33" fillId="0" borderId="0" xfId="0" applyFont="1" applyAlignment="1">
      <alignment horizontal="left"/>
    </xf>
    <xf numFmtId="0" fontId="33" fillId="0" borderId="2" xfId="0" applyFont="1" applyBorder="1" applyAlignment="1">
      <alignment horizontal="left"/>
    </xf>
    <xf numFmtId="9" fontId="63" fillId="0" borderId="69" xfId="50" applyFont="1" applyFill="1" applyBorder="1"/>
    <xf numFmtId="2" fontId="63" fillId="0" borderId="69" xfId="21" applyNumberFormat="1" applyFont="1" applyFill="1" applyBorder="1" applyAlignment="1">
      <alignment horizontal="center" vertical="center"/>
    </xf>
  </cellXfs>
  <cellStyles count="141">
    <cellStyle name="Comma" xfId="1" builtinId="3"/>
    <cellStyle name="Comma [0] 2" xfId="33" xr:uid="{00000000-0005-0000-0000-000001000000}"/>
    <cellStyle name="Comma [0] 2 2" xfId="45" xr:uid="{00000000-0005-0000-0000-000002000000}"/>
    <cellStyle name="Comma [0] 2 2 2" xfId="121" xr:uid="{00000000-0005-0000-0000-000003000000}"/>
    <cellStyle name="Comma [0] 2 3" xfId="112" xr:uid="{00000000-0005-0000-0000-000004000000}"/>
    <cellStyle name="Comma [0] 3" xfId="37" xr:uid="{00000000-0005-0000-0000-000005000000}"/>
    <cellStyle name="Comma [0] 3 2" xfId="115" xr:uid="{00000000-0005-0000-0000-000006000000}"/>
    <cellStyle name="Comma 10" xfId="97" xr:uid="{00000000-0005-0000-0000-000007000000}"/>
    <cellStyle name="Comma 11" xfId="136" xr:uid="{00000000-0005-0000-0000-000008000000}"/>
    <cellStyle name="Comma 12" xfId="132" xr:uid="{00000000-0005-0000-0000-000009000000}"/>
    <cellStyle name="Comma 13" xfId="135" xr:uid="{00000000-0005-0000-0000-00000A000000}"/>
    <cellStyle name="Comma 14" xfId="134" xr:uid="{00000000-0005-0000-0000-00000B000000}"/>
    <cellStyle name="Comma 15" xfId="137" xr:uid="{00000000-0005-0000-0000-00000C000000}"/>
    <cellStyle name="Comma 2" xfId="2" xr:uid="{00000000-0005-0000-0000-00000D000000}"/>
    <cellStyle name="Comma 2 2" xfId="93" xr:uid="{00000000-0005-0000-0000-00000E000000}"/>
    <cellStyle name="Comma 3" xfId="10" xr:uid="{00000000-0005-0000-0000-00000F000000}"/>
    <cellStyle name="Comma 3 2" xfId="96" xr:uid="{00000000-0005-0000-0000-000010000000}"/>
    <cellStyle name="Comma 3 3" xfId="64" xr:uid="{00000000-0005-0000-0000-000011000000}"/>
    <cellStyle name="Comma 4" xfId="18" xr:uid="{00000000-0005-0000-0000-000012000000}"/>
    <cellStyle name="Comma 4 2" xfId="101" xr:uid="{00000000-0005-0000-0000-000013000000}"/>
    <cellStyle name="Comma 4 3" xfId="66" xr:uid="{00000000-0005-0000-0000-000014000000}"/>
    <cellStyle name="Comma 5" xfId="23" xr:uid="{00000000-0005-0000-0000-000015000000}"/>
    <cellStyle name="Comma 5 2" xfId="105" xr:uid="{00000000-0005-0000-0000-000016000000}"/>
    <cellStyle name="Comma 5 3" xfId="70" xr:uid="{00000000-0005-0000-0000-000017000000}"/>
    <cellStyle name="Comma 6" xfId="25" xr:uid="{00000000-0005-0000-0000-000018000000}"/>
    <cellStyle name="Comma 6 2" xfId="52" xr:uid="{00000000-0005-0000-0000-000019000000}"/>
    <cellStyle name="Comma 6 2 2" xfId="127" xr:uid="{00000000-0005-0000-0000-00001A000000}"/>
    <cellStyle name="Comma 6 2 3" xfId="86" xr:uid="{00000000-0005-0000-0000-00001B000000}"/>
    <cellStyle name="Comma 6 3" xfId="107" xr:uid="{00000000-0005-0000-0000-00001C000000}"/>
    <cellStyle name="Comma 6 4" xfId="72" xr:uid="{00000000-0005-0000-0000-00001D000000}"/>
    <cellStyle name="Comma 7" xfId="28" xr:uid="{00000000-0005-0000-0000-00001E000000}"/>
    <cellStyle name="Comma 7 2" xfId="109" xr:uid="{00000000-0005-0000-0000-00001F000000}"/>
    <cellStyle name="Comma 7 3" xfId="74" xr:uid="{00000000-0005-0000-0000-000020000000}"/>
    <cellStyle name="Comma 8" xfId="31" xr:uid="{00000000-0005-0000-0000-000021000000}"/>
    <cellStyle name="Comma 8 2" xfId="59" xr:uid="{00000000-0005-0000-0000-000022000000}"/>
    <cellStyle name="Comma 8 2 2" xfId="131" xr:uid="{00000000-0005-0000-0000-000023000000}"/>
    <cellStyle name="Comma 8 2 3" xfId="90" xr:uid="{00000000-0005-0000-0000-000024000000}"/>
    <cellStyle name="Comma 8 3" xfId="111" xr:uid="{00000000-0005-0000-0000-000025000000}"/>
    <cellStyle name="Comma 8 4" xfId="77" xr:uid="{00000000-0005-0000-0000-000026000000}"/>
    <cellStyle name="Comma 9" xfId="61" xr:uid="{00000000-0005-0000-0000-000027000000}"/>
    <cellStyle name="Comma 9 2" xfId="92" xr:uid="{00000000-0005-0000-0000-000028000000}"/>
    <cellStyle name="Currency" xfId="55" builtinId="4"/>
    <cellStyle name="Currency 2" xfId="130" xr:uid="{00000000-0005-0000-0000-00002A000000}"/>
    <cellStyle name="Currency 3" xfId="88" xr:uid="{00000000-0005-0000-0000-00002B000000}"/>
    <cellStyle name="Hyperlink" xfId="34" builtinId="8"/>
    <cellStyle name="Hyperlink 2" xfId="48" xr:uid="{00000000-0005-0000-0000-00002D000000}"/>
    <cellStyle name="Normal" xfId="0" builtinId="0"/>
    <cellStyle name="Normal 10" xfId="24" xr:uid="{00000000-0005-0000-0000-00002F000000}"/>
    <cellStyle name="Normal 10 2" xfId="51" xr:uid="{00000000-0005-0000-0000-000030000000}"/>
    <cellStyle name="Normal 10 2 2" xfId="126" xr:uid="{00000000-0005-0000-0000-000031000000}"/>
    <cellStyle name="Normal 10 2 3" xfId="85" xr:uid="{00000000-0005-0000-0000-000032000000}"/>
    <cellStyle name="Normal 10 3" xfId="106" xr:uid="{00000000-0005-0000-0000-000033000000}"/>
    <cellStyle name="Normal 10 4" xfId="71" xr:uid="{00000000-0005-0000-0000-000034000000}"/>
    <cellStyle name="Normal 11" xfId="26" xr:uid="{00000000-0005-0000-0000-000035000000}"/>
    <cellStyle name="Normal 11 2" xfId="35" xr:uid="{00000000-0005-0000-0000-000036000000}"/>
    <cellStyle name="Normal 11 2 2" xfId="113" xr:uid="{00000000-0005-0000-0000-000037000000}"/>
    <cellStyle name="Normal 11 2 3" xfId="79" xr:uid="{00000000-0005-0000-0000-000038000000}"/>
    <cellStyle name="Normal 11 3" xfId="38" xr:uid="{00000000-0005-0000-0000-000039000000}"/>
    <cellStyle name="Normal 11 3 2" xfId="46" xr:uid="{00000000-0005-0000-0000-00003A000000}"/>
    <cellStyle name="Normal 11 3 2 2" xfId="122" xr:uid="{00000000-0005-0000-0000-00003B000000}"/>
    <cellStyle name="Normal 11 3 2 3" xfId="82" xr:uid="{00000000-0005-0000-0000-00003C000000}"/>
    <cellStyle name="Normal 11 3 3" xfId="116" xr:uid="{00000000-0005-0000-0000-00003D000000}"/>
    <cellStyle name="Normal 11 3 4" xfId="81" xr:uid="{00000000-0005-0000-0000-00003E000000}"/>
    <cellStyle name="Normal 11 4" xfId="108" xr:uid="{00000000-0005-0000-0000-00003F000000}"/>
    <cellStyle name="Normal 11 5" xfId="73" xr:uid="{00000000-0005-0000-0000-000040000000}"/>
    <cellStyle name="Normal 12" xfId="30" xr:uid="{00000000-0005-0000-0000-000041000000}"/>
    <cellStyle name="Normal 12 2" xfId="58" xr:uid="{00000000-0005-0000-0000-000042000000}"/>
    <cellStyle name="Normal 12 2 2" xfId="89" xr:uid="{00000000-0005-0000-0000-000043000000}"/>
    <cellStyle name="Normal 12 3" xfId="76" xr:uid="{00000000-0005-0000-0000-000044000000}"/>
    <cellStyle name="Normal 2" xfId="3" xr:uid="{00000000-0005-0000-0000-000045000000}"/>
    <cellStyle name="Normal 2 18" xfId="56" xr:uid="{00000000-0005-0000-0000-000046000000}"/>
    <cellStyle name="Normal 2 2" xfId="4" xr:uid="{00000000-0005-0000-0000-000047000000}"/>
    <cellStyle name="Normal 3" xfId="5" xr:uid="{00000000-0005-0000-0000-000048000000}"/>
    <cellStyle name="Normal 3 2" xfId="54" xr:uid="{00000000-0005-0000-0000-000049000000}"/>
    <cellStyle name="Normal 3 2 2" xfId="129" xr:uid="{00000000-0005-0000-0000-00004A000000}"/>
    <cellStyle name="Normal 4" xfId="9" xr:uid="{00000000-0005-0000-0000-00004B000000}"/>
    <cellStyle name="Normal 4 2" xfId="57" xr:uid="{00000000-0005-0000-0000-00004C000000}"/>
    <cellStyle name="Normal 4 3" xfId="95" xr:uid="{00000000-0005-0000-0000-00004D000000}"/>
    <cellStyle name="Normal 4 4" xfId="63" xr:uid="{00000000-0005-0000-0000-00004E000000}"/>
    <cellStyle name="Normal 5" xfId="13" xr:uid="{00000000-0005-0000-0000-00004F000000}"/>
    <cellStyle name="Normal 5 2" xfId="36" xr:uid="{00000000-0005-0000-0000-000050000000}"/>
    <cellStyle name="Normal 5 2 2" xfId="114" xr:uid="{00000000-0005-0000-0000-000051000000}"/>
    <cellStyle name="Normal 5 2 3" xfId="80" xr:uid="{00000000-0005-0000-0000-000052000000}"/>
    <cellStyle name="Normal 5 3" xfId="44" xr:uid="{00000000-0005-0000-0000-000053000000}"/>
    <cellStyle name="Normal 5 3 2" xfId="120" xr:uid="{00000000-0005-0000-0000-000054000000}"/>
    <cellStyle name="Normal 5 4" xfId="98" xr:uid="{00000000-0005-0000-0000-000055000000}"/>
    <cellStyle name="Normal 6" xfId="17" xr:uid="{00000000-0005-0000-0000-000056000000}"/>
    <cellStyle name="Normal 6 2" xfId="100" xr:uid="{00000000-0005-0000-0000-000057000000}"/>
    <cellStyle name="Normal 6 3" xfId="65" xr:uid="{00000000-0005-0000-0000-000058000000}"/>
    <cellStyle name="Normal 7" xfId="20" xr:uid="{00000000-0005-0000-0000-000059000000}"/>
    <cellStyle name="Normal 7 2 2 2" xfId="47" xr:uid="{00000000-0005-0000-0000-00005A000000}"/>
    <cellStyle name="Normal 7 2 2 2 2" xfId="123" xr:uid="{00000000-0005-0000-0000-00005B000000}"/>
    <cellStyle name="Normal 8" xfId="21" xr:uid="{00000000-0005-0000-0000-00005C000000}"/>
    <cellStyle name="Normal 8 2" xfId="49" xr:uid="{00000000-0005-0000-0000-00005D000000}"/>
    <cellStyle name="Normal 8 2 2" xfId="124" xr:uid="{00000000-0005-0000-0000-00005E000000}"/>
    <cellStyle name="Normal 8 2 3" xfId="83" xr:uid="{00000000-0005-0000-0000-00005F000000}"/>
    <cellStyle name="Normal 8 3" xfId="53" xr:uid="{00000000-0005-0000-0000-000060000000}"/>
    <cellStyle name="Normal 8 3 2" xfId="128" xr:uid="{00000000-0005-0000-0000-000061000000}"/>
    <cellStyle name="Normal 8 3 3" xfId="87" xr:uid="{00000000-0005-0000-0000-000062000000}"/>
    <cellStyle name="Normal 8 4" xfId="103" xr:uid="{00000000-0005-0000-0000-000063000000}"/>
    <cellStyle name="Normal 8 5" xfId="68" xr:uid="{00000000-0005-0000-0000-000064000000}"/>
    <cellStyle name="Normal 9" xfId="6" xr:uid="{00000000-0005-0000-0000-000065000000}"/>
    <cellStyle name="Normal 9 2" xfId="15" xr:uid="{00000000-0005-0000-0000-000066000000}"/>
    <cellStyle name="Output 2" xfId="14" xr:uid="{00000000-0005-0000-0000-000067000000}"/>
    <cellStyle name="Percent" xfId="16" builtinId="5"/>
    <cellStyle name="Percent 2" xfId="19" xr:uid="{00000000-0005-0000-0000-000069000000}"/>
    <cellStyle name="Percent 2 2" xfId="102" xr:uid="{00000000-0005-0000-0000-00006A000000}"/>
    <cellStyle name="Percent 2 3" xfId="67" xr:uid="{00000000-0005-0000-0000-00006B000000}"/>
    <cellStyle name="Percent 3" xfId="7" xr:uid="{00000000-0005-0000-0000-00006C000000}"/>
    <cellStyle name="Percent 4" xfId="22" xr:uid="{00000000-0005-0000-0000-00006D000000}"/>
    <cellStyle name="Percent 4 2" xfId="50" xr:uid="{00000000-0005-0000-0000-00006E000000}"/>
    <cellStyle name="Percent 4 2 2" xfId="125" xr:uid="{00000000-0005-0000-0000-00006F000000}"/>
    <cellStyle name="Percent 4 2 3" xfId="84" xr:uid="{00000000-0005-0000-0000-000070000000}"/>
    <cellStyle name="Percent 4 3" xfId="104" xr:uid="{00000000-0005-0000-0000-000071000000}"/>
    <cellStyle name="Percent 4 4" xfId="69" xr:uid="{00000000-0005-0000-0000-000072000000}"/>
    <cellStyle name="Percent 5" xfId="29" xr:uid="{00000000-0005-0000-0000-000073000000}"/>
    <cellStyle name="Percent 5 2" xfId="110" xr:uid="{00000000-0005-0000-0000-000074000000}"/>
    <cellStyle name="Percent 5 3" xfId="75" xr:uid="{00000000-0005-0000-0000-000075000000}"/>
    <cellStyle name="Percent 6" xfId="32" xr:uid="{00000000-0005-0000-0000-000076000000}"/>
    <cellStyle name="Percent 6 2" xfId="60" xr:uid="{00000000-0005-0000-0000-000077000000}"/>
    <cellStyle name="Percent 6 2 2" xfId="91" xr:uid="{00000000-0005-0000-0000-000078000000}"/>
    <cellStyle name="Percent 6 3" xfId="78" xr:uid="{00000000-0005-0000-0000-000079000000}"/>
    <cellStyle name="เครื่องหมายจุลภาค" xfId="27" xr:uid="{00000000-0005-0000-0000-00007A000000}"/>
    <cellStyle name="เครื่องหมายจุลภาค 2" xfId="43" xr:uid="{00000000-0005-0000-0000-00007B000000}"/>
    <cellStyle name="เครื่องหมายจุลภาค 2 2" xfId="119" xr:uid="{00000000-0005-0000-0000-00007C000000}"/>
    <cellStyle name="เครื่องหมายจุลภาค 2 3" xfId="42" xr:uid="{00000000-0005-0000-0000-00007D000000}"/>
    <cellStyle name="จุลภาค 3" xfId="41" xr:uid="{00000000-0005-0000-0000-00007E000000}"/>
    <cellStyle name="จุลภาค 3 2" xfId="118" xr:uid="{00000000-0005-0000-0000-00007F000000}"/>
    <cellStyle name="ปกติ 13" xfId="11" xr:uid="{00000000-0005-0000-0000-000080000000}"/>
    <cellStyle name="ปกติ 13 2" xfId="12" xr:uid="{00000000-0005-0000-0000-000081000000}"/>
    <cellStyle name="ปกติ 15" xfId="40" xr:uid="{00000000-0005-0000-0000-000082000000}"/>
    <cellStyle name="ปกติ 2" xfId="39" xr:uid="{00000000-0005-0000-0000-000083000000}"/>
    <cellStyle name="ปกติ 2 2" xfId="117" xr:uid="{00000000-0005-0000-0000-000084000000}"/>
    <cellStyle name="ป้อนค่า 2" xfId="8" xr:uid="{00000000-0005-0000-0000-000086000000}"/>
    <cellStyle name="ป้อนค่า 2 2" xfId="94" xr:uid="{00000000-0005-0000-0000-000087000000}"/>
    <cellStyle name="ป้อนค่า 2 3" xfId="99" xr:uid="{00000000-0005-0000-0000-000088000000}"/>
    <cellStyle name="ป้อนค่า 2 4" xfId="138" xr:uid="{00000000-0005-0000-0000-000089000000}"/>
    <cellStyle name="ป้อนค่า 2 5" xfId="139" xr:uid="{00000000-0005-0000-0000-00008A000000}"/>
    <cellStyle name="ป้อนค่า 2 6" xfId="133" xr:uid="{00000000-0005-0000-0000-00008B000000}"/>
    <cellStyle name="ป้อนค่า 2 7" xfId="140" xr:uid="{00000000-0005-0000-0000-00008C000000}"/>
    <cellStyle name="ป้อนค่า 2 8" xfId="62" xr:uid="{00000000-0005-0000-0000-00008D000000}"/>
  </cellStyles>
  <dxfs count="5">
    <dxf>
      <fill>
        <patternFill patternType="gray0625"/>
      </fill>
    </dxf>
    <dxf>
      <fill>
        <patternFill patternType="gray125"/>
      </fill>
    </dxf>
    <dxf>
      <fill>
        <patternFill patternType="gray0625"/>
      </fill>
    </dxf>
    <dxf>
      <fill>
        <patternFill patternType="gray0625"/>
      </fill>
    </dxf>
    <dxf>
      <fill>
        <patternFill patternType="gray0625"/>
      </fill>
    </dxf>
  </dxfs>
  <tableStyles count="0" defaultTableStyle="TableStyleMedium9" defaultPivotStyle="PivotStyleLight16"/>
  <colors>
    <mruColors>
      <color rgb="FF0000FF"/>
      <color rgb="FFFFFF99"/>
      <color rgb="FFFFFFCC"/>
      <color rgb="FF31869B"/>
      <color rgb="FF99FF99"/>
      <color rgb="FF009900"/>
      <color rgb="FFFF05BE"/>
      <color rgb="FF00FFFF"/>
      <color rgb="FFE92B39"/>
      <color rgb="FFF59D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sharedStrings" Target="sharedStrings.xml"/><Relationship Id="rId58" Type="http://schemas.microsoft.com/office/2017/10/relationships/person" Target="persons/perso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791911803539799"/>
          <c:y val="8.7156228829356072E-2"/>
          <c:w val="0.73547453089402925"/>
          <c:h val="0.91231895967706378"/>
        </c:manualLayout>
      </c:layout>
      <c:barChart>
        <c:barDir val="bar"/>
        <c:grouping val="clustered"/>
        <c:varyColors val="0"/>
        <c:ser>
          <c:idx val="0"/>
          <c:order val="0"/>
          <c:tx>
            <c:strRef>
              <c:f>'Overview Result'!$J$19</c:f>
              <c:strCache>
                <c:ptCount val="1"/>
                <c:pt idx="0">
                  <c:v>สัดส่วนการปล่อยก๊าซเรือนกระจก (%)</c:v>
                </c:pt>
              </c:strCache>
            </c:strRef>
          </c:tx>
          <c:spPr>
            <a:solidFill>
              <a:schemeClr val="accent1"/>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2-9A68-4CB5-917B-220217A96874}"/>
              </c:ext>
            </c:extLst>
          </c:dPt>
          <c:dPt>
            <c:idx val="1"/>
            <c:invertIfNegative val="0"/>
            <c:bubble3D val="0"/>
            <c:spPr>
              <a:solidFill>
                <a:srgbClr val="7030A0"/>
              </a:solidFill>
              <a:ln>
                <a:noFill/>
              </a:ln>
              <a:effectLst/>
            </c:spPr>
            <c:extLst>
              <c:ext xmlns:c16="http://schemas.microsoft.com/office/drawing/2014/chart" uri="{C3380CC4-5D6E-409C-BE32-E72D297353CC}">
                <c16:uniqueId val="{00000003-9A68-4CB5-917B-220217A96874}"/>
              </c:ext>
            </c:extLst>
          </c:dPt>
          <c:dPt>
            <c:idx val="2"/>
            <c:invertIfNegative val="0"/>
            <c:bubble3D val="0"/>
            <c:spPr>
              <a:solidFill>
                <a:srgbClr val="00B050"/>
              </a:solidFill>
              <a:ln>
                <a:noFill/>
              </a:ln>
              <a:effectLst/>
            </c:spPr>
            <c:extLst>
              <c:ext xmlns:c16="http://schemas.microsoft.com/office/drawing/2014/chart" uri="{C3380CC4-5D6E-409C-BE32-E72D297353CC}">
                <c16:uniqueId val="{00000004-9A68-4CB5-917B-220217A9687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9A68-4CB5-917B-220217A96874}"/>
              </c:ext>
            </c:extLst>
          </c:dPt>
          <c:dPt>
            <c:idx val="4"/>
            <c:invertIfNegative val="0"/>
            <c:bubble3D val="0"/>
            <c:spPr>
              <a:solidFill>
                <a:srgbClr val="663300"/>
              </a:solidFill>
              <a:ln>
                <a:noFill/>
              </a:ln>
              <a:effectLst/>
            </c:spPr>
            <c:extLst>
              <c:ext xmlns:c16="http://schemas.microsoft.com/office/drawing/2014/chart" uri="{C3380CC4-5D6E-409C-BE32-E72D297353CC}">
                <c16:uniqueId val="{00000006-9A68-4CB5-917B-220217A96874}"/>
              </c:ext>
            </c:extLst>
          </c:dPt>
          <c:dPt>
            <c:idx val="5"/>
            <c:invertIfNegative val="0"/>
            <c:bubble3D val="0"/>
            <c:spPr>
              <a:solidFill>
                <a:schemeClr val="accent6">
                  <a:lumMod val="75000"/>
                </a:schemeClr>
              </a:solidFill>
              <a:ln>
                <a:noFill/>
              </a:ln>
              <a:effectLst/>
            </c:spPr>
            <c:extLst>
              <c:ext xmlns:c16="http://schemas.microsoft.com/office/drawing/2014/chart" uri="{C3380CC4-5D6E-409C-BE32-E72D297353CC}">
                <c16:uniqueId val="{00000007-9A68-4CB5-917B-220217A96874}"/>
              </c:ext>
            </c:extLst>
          </c:dPt>
          <c:dPt>
            <c:idx val="6"/>
            <c:invertIfNegative val="0"/>
            <c:bubble3D val="0"/>
            <c:spPr>
              <a:solidFill>
                <a:schemeClr val="accent2">
                  <a:lumMod val="50000"/>
                </a:schemeClr>
              </a:solidFill>
              <a:ln>
                <a:noFill/>
              </a:ln>
              <a:effectLst/>
            </c:spPr>
            <c:extLst>
              <c:ext xmlns:c16="http://schemas.microsoft.com/office/drawing/2014/chart" uri="{C3380CC4-5D6E-409C-BE32-E72D297353CC}">
                <c16:uniqueId val="{00000008-9A68-4CB5-917B-220217A96874}"/>
              </c:ext>
            </c:extLst>
          </c:dPt>
          <c:dPt>
            <c:idx val="7"/>
            <c:invertIfNegative val="0"/>
            <c:bubble3D val="0"/>
            <c:spPr>
              <a:solidFill>
                <a:srgbClr val="663300"/>
              </a:solidFill>
              <a:ln>
                <a:noFill/>
              </a:ln>
              <a:effectLst/>
            </c:spPr>
            <c:extLst>
              <c:ext xmlns:c16="http://schemas.microsoft.com/office/drawing/2014/chart" uri="{C3380CC4-5D6E-409C-BE32-E72D297353CC}">
                <c16:uniqueId val="{00000009-9A68-4CB5-917B-220217A96874}"/>
              </c:ext>
            </c:extLst>
          </c:dPt>
          <c:dPt>
            <c:idx val="8"/>
            <c:invertIfNegative val="0"/>
            <c:bubble3D val="0"/>
            <c:spPr>
              <a:solidFill>
                <a:srgbClr val="CC6600"/>
              </a:solidFill>
              <a:ln>
                <a:noFill/>
              </a:ln>
              <a:effectLst/>
            </c:spPr>
            <c:extLst>
              <c:ext xmlns:c16="http://schemas.microsoft.com/office/drawing/2014/chart" uri="{C3380CC4-5D6E-409C-BE32-E72D297353CC}">
                <c16:uniqueId val="{0000000A-9A68-4CB5-917B-220217A96874}"/>
              </c:ext>
            </c:extLst>
          </c:dPt>
          <c:dPt>
            <c:idx val="9"/>
            <c:invertIfNegative val="0"/>
            <c:bubble3D val="0"/>
            <c:spPr>
              <a:solidFill>
                <a:srgbClr val="00B050"/>
              </a:solidFill>
              <a:ln>
                <a:noFill/>
              </a:ln>
              <a:effectLst/>
            </c:spPr>
            <c:extLst>
              <c:ext xmlns:c16="http://schemas.microsoft.com/office/drawing/2014/chart" uri="{C3380CC4-5D6E-409C-BE32-E72D297353CC}">
                <c16:uniqueId val="{0000000B-9A68-4CB5-917B-220217A96874}"/>
              </c:ext>
            </c:extLst>
          </c:dPt>
          <c:dPt>
            <c:idx val="10"/>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C-9A68-4CB5-917B-220217A96874}"/>
              </c:ext>
            </c:extLst>
          </c:dPt>
          <c:dPt>
            <c:idx val="11"/>
            <c:invertIfNegative val="0"/>
            <c:bubble3D val="0"/>
            <c:spPr>
              <a:solidFill>
                <a:schemeClr val="accent6">
                  <a:lumMod val="75000"/>
                </a:schemeClr>
              </a:solidFill>
              <a:ln>
                <a:noFill/>
              </a:ln>
              <a:effectLst/>
            </c:spPr>
            <c:extLst>
              <c:ext xmlns:c16="http://schemas.microsoft.com/office/drawing/2014/chart" uri="{C3380CC4-5D6E-409C-BE32-E72D297353CC}">
                <c16:uniqueId val="{0000000D-9A68-4CB5-917B-220217A96874}"/>
              </c:ext>
            </c:extLst>
          </c:dPt>
          <c:dPt>
            <c:idx val="12"/>
            <c:invertIfNegative val="0"/>
            <c:bubble3D val="0"/>
            <c:spPr>
              <a:solidFill>
                <a:srgbClr val="00B050"/>
              </a:solidFill>
              <a:ln>
                <a:noFill/>
              </a:ln>
              <a:effectLst/>
            </c:spPr>
            <c:extLst>
              <c:ext xmlns:c16="http://schemas.microsoft.com/office/drawing/2014/chart" uri="{C3380CC4-5D6E-409C-BE32-E72D297353CC}">
                <c16:uniqueId val="{0000000E-9A68-4CB5-917B-220217A96874}"/>
              </c:ext>
            </c:extLst>
          </c:dPt>
          <c:dPt>
            <c:idx val="13"/>
            <c:invertIfNegative val="0"/>
            <c:bubble3D val="0"/>
            <c:spPr>
              <a:solidFill>
                <a:schemeClr val="accent6">
                  <a:lumMod val="75000"/>
                </a:schemeClr>
              </a:solidFill>
              <a:ln>
                <a:noFill/>
              </a:ln>
              <a:effectLst/>
            </c:spPr>
            <c:extLst>
              <c:ext xmlns:c16="http://schemas.microsoft.com/office/drawing/2014/chart" uri="{C3380CC4-5D6E-409C-BE32-E72D297353CC}">
                <c16:uniqueId val="{0000000F-9A68-4CB5-917B-220217A96874}"/>
              </c:ext>
            </c:extLst>
          </c:dPt>
          <c:dPt>
            <c:idx val="14"/>
            <c:invertIfNegative val="0"/>
            <c:bubble3D val="0"/>
            <c:spPr>
              <a:solidFill>
                <a:schemeClr val="accent6">
                  <a:lumMod val="75000"/>
                </a:schemeClr>
              </a:solidFill>
              <a:ln>
                <a:noFill/>
              </a:ln>
              <a:effectLst/>
            </c:spPr>
            <c:extLst>
              <c:ext xmlns:c16="http://schemas.microsoft.com/office/drawing/2014/chart" uri="{C3380CC4-5D6E-409C-BE32-E72D297353CC}">
                <c16:uniqueId val="{00000010-9A68-4CB5-917B-220217A96874}"/>
              </c:ext>
            </c:extLst>
          </c:dPt>
          <c:dPt>
            <c:idx val="15"/>
            <c:invertIfNegative val="0"/>
            <c:bubble3D val="0"/>
            <c:spPr>
              <a:solidFill>
                <a:srgbClr val="00B050"/>
              </a:solidFill>
              <a:ln>
                <a:noFill/>
              </a:ln>
              <a:effectLst/>
            </c:spPr>
            <c:extLst>
              <c:ext xmlns:c16="http://schemas.microsoft.com/office/drawing/2014/chart" uri="{C3380CC4-5D6E-409C-BE32-E72D297353CC}">
                <c16:uniqueId val="{00000011-9A68-4CB5-917B-220217A96874}"/>
              </c:ext>
            </c:extLst>
          </c:dPt>
          <c:dPt>
            <c:idx val="16"/>
            <c:invertIfNegative val="0"/>
            <c:bubble3D val="0"/>
            <c:spPr>
              <a:solidFill>
                <a:srgbClr val="7030A0"/>
              </a:solidFill>
              <a:ln>
                <a:noFill/>
              </a:ln>
              <a:effectLst/>
            </c:spPr>
            <c:extLst>
              <c:ext xmlns:c16="http://schemas.microsoft.com/office/drawing/2014/chart" uri="{C3380CC4-5D6E-409C-BE32-E72D297353CC}">
                <c16:uniqueId val="{00000012-9A68-4CB5-917B-220217A96874}"/>
              </c:ext>
            </c:extLst>
          </c:dPt>
          <c:dPt>
            <c:idx val="17"/>
            <c:invertIfNegative val="0"/>
            <c:bubble3D val="0"/>
            <c:spPr>
              <a:solidFill>
                <a:srgbClr val="7030A0"/>
              </a:solidFill>
              <a:ln>
                <a:noFill/>
              </a:ln>
              <a:effectLst/>
            </c:spPr>
            <c:extLst>
              <c:ext xmlns:c16="http://schemas.microsoft.com/office/drawing/2014/chart" uri="{C3380CC4-5D6E-409C-BE32-E72D297353CC}">
                <c16:uniqueId val="{00000013-9A68-4CB5-917B-220217A96874}"/>
              </c:ext>
            </c:extLst>
          </c:dPt>
          <c:dPt>
            <c:idx val="18"/>
            <c:invertIfNegative val="0"/>
            <c:bubble3D val="0"/>
            <c:spPr>
              <a:solidFill>
                <a:srgbClr val="663300"/>
              </a:solidFill>
              <a:ln>
                <a:noFill/>
              </a:ln>
              <a:effectLst/>
            </c:spPr>
            <c:extLst>
              <c:ext xmlns:c16="http://schemas.microsoft.com/office/drawing/2014/chart" uri="{C3380CC4-5D6E-409C-BE32-E72D297353CC}">
                <c16:uniqueId val="{00000024-B121-48E7-B9E2-28FD7C211C4B}"/>
              </c:ext>
            </c:extLst>
          </c:dPt>
          <c:dLbls>
            <c:dLbl>
              <c:idx val="0"/>
              <c:tx>
                <c:rich>
                  <a:bodyPr/>
                  <a:lstStyle/>
                  <a:p>
                    <a:fld id="{77DB9D4B-1C47-46CA-B889-906963BF71FF}" type="CELLRANGE">
                      <a:rPr lang="en-US"/>
                      <a:pPr/>
                      <a:t>[CELLRANGE]</a:t>
                    </a:fld>
                    <a:r>
                      <a:rPr lang="en-US" baseline="0"/>
                      <a:t>, </a:t>
                    </a:r>
                    <a:fld id="{8B737A1D-7716-4DA9-BA13-797D686214D8}"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A68-4CB5-917B-220217A96874}"/>
                </c:ext>
              </c:extLst>
            </c:dLbl>
            <c:dLbl>
              <c:idx val="1"/>
              <c:tx>
                <c:rich>
                  <a:bodyPr/>
                  <a:lstStyle/>
                  <a:p>
                    <a:fld id="{6B433F99-1306-4163-8FBD-BDF72901FFA9}" type="CELLRANGE">
                      <a:rPr lang="en-US"/>
                      <a:pPr/>
                      <a:t>[CELLRANGE]</a:t>
                    </a:fld>
                    <a:r>
                      <a:rPr lang="en-US" baseline="0"/>
                      <a:t>, </a:t>
                    </a:r>
                    <a:fld id="{62B0DB6B-EA2C-424D-9A86-52D7C9013A2A}"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A68-4CB5-917B-220217A96874}"/>
                </c:ext>
              </c:extLst>
            </c:dLbl>
            <c:dLbl>
              <c:idx val="2"/>
              <c:tx>
                <c:rich>
                  <a:bodyPr/>
                  <a:lstStyle/>
                  <a:p>
                    <a:fld id="{4F138672-8B77-4D43-975A-793FACA80DBB}" type="CELLRANGE">
                      <a:rPr lang="en-US"/>
                      <a:pPr/>
                      <a:t>[CELLRANGE]</a:t>
                    </a:fld>
                    <a:r>
                      <a:rPr lang="en-US" baseline="0"/>
                      <a:t>, </a:t>
                    </a:r>
                    <a:fld id="{8A576317-F140-4F3C-B03C-72D17CD5C071}"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A68-4CB5-917B-220217A96874}"/>
                </c:ext>
              </c:extLst>
            </c:dLbl>
            <c:dLbl>
              <c:idx val="3"/>
              <c:tx>
                <c:rich>
                  <a:bodyPr/>
                  <a:lstStyle/>
                  <a:p>
                    <a:fld id="{B9C0C40A-2628-4F0D-A0AB-18A5318B425B}" type="CELLRANGE">
                      <a:rPr lang="en-US"/>
                      <a:pPr/>
                      <a:t>[CELLRANGE]</a:t>
                    </a:fld>
                    <a:r>
                      <a:rPr lang="en-US" baseline="0"/>
                      <a:t>, </a:t>
                    </a:r>
                    <a:fld id="{64DC262A-E9D8-47FD-AFAC-D95B0541922F}"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A68-4CB5-917B-220217A96874}"/>
                </c:ext>
              </c:extLst>
            </c:dLbl>
            <c:dLbl>
              <c:idx val="4"/>
              <c:tx>
                <c:rich>
                  <a:bodyPr/>
                  <a:lstStyle/>
                  <a:p>
                    <a:fld id="{99937792-60BC-4C82-AB2F-2628FE001111}" type="CELLRANGE">
                      <a:rPr lang="en-US"/>
                      <a:pPr/>
                      <a:t>[CELLRANGE]</a:t>
                    </a:fld>
                    <a:r>
                      <a:rPr lang="en-US" baseline="0"/>
                      <a:t>, </a:t>
                    </a:r>
                    <a:fld id="{598D2CF6-7932-4BE0-B308-8C8C79190492}"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A68-4CB5-917B-220217A96874}"/>
                </c:ext>
              </c:extLst>
            </c:dLbl>
            <c:dLbl>
              <c:idx val="5"/>
              <c:tx>
                <c:rich>
                  <a:bodyPr/>
                  <a:lstStyle/>
                  <a:p>
                    <a:fld id="{3EE75D10-E3C9-4447-B64C-537B961605B9}" type="CELLRANGE">
                      <a:rPr lang="en-US"/>
                      <a:pPr/>
                      <a:t>[CELLRANGE]</a:t>
                    </a:fld>
                    <a:r>
                      <a:rPr lang="en-US" baseline="0"/>
                      <a:t>, </a:t>
                    </a:r>
                    <a:fld id="{34C05FE2-2C86-4294-B39F-C50D5EE9E789}"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A68-4CB5-917B-220217A96874}"/>
                </c:ext>
              </c:extLst>
            </c:dLbl>
            <c:dLbl>
              <c:idx val="6"/>
              <c:tx>
                <c:rich>
                  <a:bodyPr/>
                  <a:lstStyle/>
                  <a:p>
                    <a:fld id="{12BE5163-4621-4E87-983A-076F7FD32973}" type="CELLRANGE">
                      <a:rPr lang="en-US"/>
                      <a:pPr/>
                      <a:t>[CELLRANGE]</a:t>
                    </a:fld>
                    <a:r>
                      <a:rPr lang="en-US" baseline="0"/>
                      <a:t>, </a:t>
                    </a:r>
                    <a:fld id="{1382A906-85FF-4DDF-81D5-E4C9140620AE}"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A68-4CB5-917B-220217A96874}"/>
                </c:ext>
              </c:extLst>
            </c:dLbl>
            <c:dLbl>
              <c:idx val="7"/>
              <c:tx>
                <c:rich>
                  <a:bodyPr/>
                  <a:lstStyle/>
                  <a:p>
                    <a:fld id="{23982433-716F-49A3-8144-C7AFBF848B2C}" type="CELLRANGE">
                      <a:rPr lang="en-US"/>
                      <a:pPr/>
                      <a:t>[CELLRANGE]</a:t>
                    </a:fld>
                    <a:r>
                      <a:rPr lang="en-US" baseline="0"/>
                      <a:t>, </a:t>
                    </a:r>
                    <a:fld id="{AEF87D14-E5CF-40BB-805B-51B9BC2B25BE}"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A68-4CB5-917B-220217A96874}"/>
                </c:ext>
              </c:extLst>
            </c:dLbl>
            <c:dLbl>
              <c:idx val="8"/>
              <c:tx>
                <c:rich>
                  <a:bodyPr/>
                  <a:lstStyle/>
                  <a:p>
                    <a:fld id="{5208BFE5-9D69-4621-A303-39A9F6B44484}" type="CELLRANGE">
                      <a:rPr lang="en-US"/>
                      <a:pPr/>
                      <a:t>[CELLRANGE]</a:t>
                    </a:fld>
                    <a:r>
                      <a:rPr lang="en-US" baseline="0"/>
                      <a:t>, </a:t>
                    </a:r>
                    <a:fld id="{E5912887-84CF-463C-834E-25A93D21F922}"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A68-4CB5-917B-220217A96874}"/>
                </c:ext>
              </c:extLst>
            </c:dLbl>
            <c:dLbl>
              <c:idx val="9"/>
              <c:tx>
                <c:rich>
                  <a:bodyPr/>
                  <a:lstStyle/>
                  <a:p>
                    <a:fld id="{F75625D5-6F60-419D-A4B2-A9FA1A46ED5E}" type="CELLRANGE">
                      <a:rPr lang="en-US"/>
                      <a:pPr/>
                      <a:t>[CELLRANGE]</a:t>
                    </a:fld>
                    <a:r>
                      <a:rPr lang="en-US" baseline="0"/>
                      <a:t>, </a:t>
                    </a:r>
                    <a:fld id="{6672B030-159A-4D1E-B475-4AD2447CFBAC}"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A68-4CB5-917B-220217A96874}"/>
                </c:ext>
              </c:extLst>
            </c:dLbl>
            <c:dLbl>
              <c:idx val="10"/>
              <c:tx>
                <c:rich>
                  <a:bodyPr/>
                  <a:lstStyle/>
                  <a:p>
                    <a:fld id="{55252279-E047-4C8F-A839-73896B40B7BF}" type="CELLRANGE">
                      <a:rPr lang="en-US"/>
                      <a:pPr/>
                      <a:t>[CELLRANGE]</a:t>
                    </a:fld>
                    <a:r>
                      <a:rPr lang="en-US" baseline="0"/>
                      <a:t>, </a:t>
                    </a:r>
                    <a:fld id="{B8B303BB-337F-4A32-8196-187D47132F1C}"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A68-4CB5-917B-220217A96874}"/>
                </c:ext>
              </c:extLst>
            </c:dLbl>
            <c:dLbl>
              <c:idx val="11"/>
              <c:tx>
                <c:rich>
                  <a:bodyPr/>
                  <a:lstStyle/>
                  <a:p>
                    <a:fld id="{D0C51A3C-233A-4B54-836B-11D8E212452B}" type="CELLRANGE">
                      <a:rPr lang="en-US"/>
                      <a:pPr/>
                      <a:t>[CELLRANGE]</a:t>
                    </a:fld>
                    <a:r>
                      <a:rPr lang="en-US" baseline="0"/>
                      <a:t>, </a:t>
                    </a:r>
                    <a:fld id="{FAAACABC-CE08-4E3F-A9A7-F35AD772ABA1}"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A68-4CB5-917B-220217A96874}"/>
                </c:ext>
              </c:extLst>
            </c:dLbl>
            <c:dLbl>
              <c:idx val="12"/>
              <c:tx>
                <c:rich>
                  <a:bodyPr/>
                  <a:lstStyle/>
                  <a:p>
                    <a:fld id="{16C79E7D-E8B8-4D6C-9CA8-1E849FC335FC}" type="CELLRANGE">
                      <a:rPr lang="en-US"/>
                      <a:pPr/>
                      <a:t>[CELLRANGE]</a:t>
                    </a:fld>
                    <a:r>
                      <a:rPr lang="en-US" baseline="0"/>
                      <a:t>, </a:t>
                    </a:r>
                    <a:fld id="{5A9CF3BD-C216-4124-A963-74A0466C4152}"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A68-4CB5-917B-220217A96874}"/>
                </c:ext>
              </c:extLst>
            </c:dLbl>
            <c:dLbl>
              <c:idx val="13"/>
              <c:tx>
                <c:rich>
                  <a:bodyPr/>
                  <a:lstStyle/>
                  <a:p>
                    <a:fld id="{9207FE52-26CE-4B95-A303-8D4682AEAAB6}" type="CELLRANGE">
                      <a:rPr lang="en-US"/>
                      <a:pPr/>
                      <a:t>[CELLRANGE]</a:t>
                    </a:fld>
                    <a:r>
                      <a:rPr lang="en-US" baseline="0"/>
                      <a:t>, </a:t>
                    </a:r>
                    <a:fld id="{EC9C6F76-D21B-435C-9CB5-1724535CDC04}"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A68-4CB5-917B-220217A96874}"/>
                </c:ext>
              </c:extLst>
            </c:dLbl>
            <c:dLbl>
              <c:idx val="14"/>
              <c:tx>
                <c:rich>
                  <a:bodyPr/>
                  <a:lstStyle/>
                  <a:p>
                    <a:fld id="{ED25DAA5-F4F9-4731-9DFB-C059E9343591}" type="CELLRANGE">
                      <a:rPr lang="en-US"/>
                      <a:pPr/>
                      <a:t>[CELLRANGE]</a:t>
                    </a:fld>
                    <a:r>
                      <a:rPr lang="en-US" baseline="0"/>
                      <a:t>, </a:t>
                    </a:r>
                    <a:fld id="{1261FDE1-CD13-4B41-9E76-E917CEFF3F1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A68-4CB5-917B-220217A96874}"/>
                </c:ext>
              </c:extLst>
            </c:dLbl>
            <c:dLbl>
              <c:idx val="15"/>
              <c:tx>
                <c:rich>
                  <a:bodyPr/>
                  <a:lstStyle/>
                  <a:p>
                    <a:fld id="{C95C5668-0636-4AB0-BEAC-7210A3FC278D}" type="CELLRANGE">
                      <a:rPr lang="en-US"/>
                      <a:pPr/>
                      <a:t>[CELLRANGE]</a:t>
                    </a:fld>
                    <a:r>
                      <a:rPr lang="en-US" baseline="0"/>
                      <a:t>, </a:t>
                    </a:r>
                    <a:fld id="{2B611F5C-CB7F-4F7F-A6BD-CEFE30F784E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A68-4CB5-917B-220217A96874}"/>
                </c:ext>
              </c:extLst>
            </c:dLbl>
            <c:dLbl>
              <c:idx val="16"/>
              <c:tx>
                <c:rich>
                  <a:bodyPr/>
                  <a:lstStyle/>
                  <a:p>
                    <a:fld id="{E3225A1E-8CD6-4F4D-B39C-878FAA23044A}" type="CELLRANGE">
                      <a:rPr lang="en-US"/>
                      <a:pPr/>
                      <a:t>[CELLRANGE]</a:t>
                    </a:fld>
                    <a:r>
                      <a:rPr lang="en-US" baseline="0"/>
                      <a:t>, </a:t>
                    </a:r>
                    <a:fld id="{BCD9AFAA-61CF-439A-B1AB-ED8D2E77435A}"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A68-4CB5-917B-220217A96874}"/>
                </c:ext>
              </c:extLst>
            </c:dLbl>
            <c:dLbl>
              <c:idx val="17"/>
              <c:tx>
                <c:rich>
                  <a:bodyPr/>
                  <a:lstStyle/>
                  <a:p>
                    <a:fld id="{934516E7-E860-46CE-BF23-B9BA7057B435}" type="CELLRANGE">
                      <a:rPr lang="en-US"/>
                      <a:pPr/>
                      <a:t>[CELLRANGE]</a:t>
                    </a:fld>
                    <a:r>
                      <a:rPr lang="en-US" baseline="0"/>
                      <a:t>, </a:t>
                    </a:r>
                    <a:fld id="{A291A4E1-9290-49C2-9771-A0BD6123D6C8}"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A68-4CB5-917B-220217A96874}"/>
                </c:ext>
              </c:extLst>
            </c:dLbl>
            <c:dLbl>
              <c:idx val="18"/>
              <c:tx>
                <c:rich>
                  <a:bodyPr/>
                  <a:lstStyle/>
                  <a:p>
                    <a:fld id="{8DDDEF62-3EDC-49F1-9050-E3BBFC37D1C8}" type="CELLRANGE">
                      <a:rPr lang="en-US"/>
                      <a:pPr/>
                      <a:t>[CELLRANGE]</a:t>
                    </a:fld>
                    <a:r>
                      <a:rPr lang="en-US" baseline="0"/>
                      <a:t>, </a:t>
                    </a:r>
                    <a:fld id="{5A7B686A-11EE-4BD8-8573-E330AE6FBF5C}"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121-48E7-B9E2-28FD7C211C4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'Overview Result'!$C$131:$C$158</c15:sqref>
                  </c15:fullRef>
                </c:ext>
              </c:extLst>
              <c:f>'Overview Result'!$C$131:$C$149</c:f>
              <c:strCache>
                <c:ptCount val="19"/>
                <c:pt idx="0">
                  <c:v>พลังงานในที่พักอาศัย</c:v>
                </c:pt>
                <c:pt idx="1">
                  <c:v>พลังงานในธุรกิจการค้าและหน่วยงานรัฐ</c:v>
                </c:pt>
                <c:pt idx="2">
                  <c:v>พลังงานในอุตสาหกรรมและการก่อสร้าง </c:v>
                </c:pt>
                <c:pt idx="3">
                  <c:v>พลังงานในการผลิตพลังงาน</c:v>
                </c:pt>
                <c:pt idx="4">
                  <c:v>พลังงานในการเกษตร ป่าไม้ และประมง</c:v>
                </c:pt>
                <c:pt idx="5">
                  <c:v>พลังงานในแหล่งที่ไม่สามารถระบุได้</c:v>
                </c:pt>
                <c:pt idx="6">
                  <c:v>การรั่วไหลของก๊าซเรือนกระจกจากกระบวนการทำเหมือง จัดเก็บ และขนส่งถ่านหิน</c:v>
                </c:pt>
                <c:pt idx="7">
                  <c:v>การรั่วไหลของก๊าซเรือนกระจกจากระบบน้ำมันและก๊าซธรรมชาติ </c:v>
                </c:pt>
                <c:pt idx="8">
                  <c:v>การขนส่งทางถนน</c:v>
                </c:pt>
                <c:pt idx="9">
                  <c:v>การขนส่งทางระบบราง</c:v>
                </c:pt>
                <c:pt idx="10">
                  <c:v>การขนส่งทางน้ำ</c:v>
                </c:pt>
                <c:pt idx="11">
                  <c:v>การขนส่งทางอากาศ</c:v>
                </c:pt>
                <c:pt idx="12">
                  <c:v>การขนส่งทางบกที่ไม่ใช่ถนน</c:v>
                </c:pt>
                <c:pt idx="13">
                  <c:v>การจัดการของเสียที่เกิดในพื้นที่ ด้วยวิธีฝังกลบในพื้นที่</c:v>
                </c:pt>
                <c:pt idx="14">
                  <c:v>การจัดการของเสียที่เกิดในพื้นที่ ด้วยวิธีการทางชีวภาพในพื้นที่</c:v>
                </c:pt>
                <c:pt idx="15">
                  <c:v>การจัดการของเสียที่เกิดในพื้นที่ ด้วยวิธีการเผาไหม้ในพื้นที่</c:v>
                </c:pt>
                <c:pt idx="16">
                  <c:v>การจัดการน้ำเสียที่เกิดในพื้นที่ ด้วยการบำบัดในพื้นที่</c:v>
                </c:pt>
                <c:pt idx="17">
                  <c:v>กระบวนการอุตสาหกรรม</c:v>
                </c:pt>
                <c:pt idx="18">
                  <c:v>การใช้ผลิตภัณฑ์</c:v>
                </c:pt>
              </c:strCache>
            </c:strRef>
          </c:cat>
          <c:val>
            <c:numRef>
              <c:extLst>
                <c:ext xmlns:c15="http://schemas.microsoft.com/office/drawing/2012/chart" uri="{02D57815-91ED-43cb-92C2-25804820EDAC}">
                  <c15:fullRef>
                    <c15:sqref>'Overview Result'!$E$131:$E$158</c15:sqref>
                  </c15:fullRef>
                </c:ext>
              </c:extLst>
              <c:f>'Overview Result'!$E$131:$E$149</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5="http://schemas.microsoft.com/office/drawing/2012/chart" uri="{02D57815-91ED-43cb-92C2-25804820EDAC}">
              <c15:datalabelsRange>
                <c15:f>'Overview Result'!$D$131:$D$158</c15:f>
                <c15:dlblRangeCach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15:dlblRangeCache>
              </c15:datalabelsRange>
            </c:ext>
            <c:ext xmlns:c16="http://schemas.microsoft.com/office/drawing/2014/chart" uri="{C3380CC4-5D6E-409C-BE32-E72D297353CC}">
              <c16:uniqueId val="{00000000-9A68-4CB5-917B-220217A96874}"/>
            </c:ext>
          </c:extLst>
        </c:ser>
        <c:dLbls>
          <c:showLegendKey val="0"/>
          <c:showVal val="0"/>
          <c:showCatName val="0"/>
          <c:showSerName val="0"/>
          <c:showPercent val="0"/>
          <c:showBubbleSize val="0"/>
        </c:dLbls>
        <c:gapWidth val="80"/>
        <c:axId val="1770234512"/>
        <c:axId val="1770240336"/>
      </c:barChart>
      <c:catAx>
        <c:axId val="1770234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TH SarabunPSK" panose="020B0500040200020003" pitchFamily="34" charset="-34"/>
                <a:ea typeface="+mn-ea"/>
                <a:cs typeface="TH SarabunPSK" panose="020B0500040200020003" pitchFamily="34" charset="-34"/>
              </a:defRPr>
            </a:pPr>
            <a:endParaRPr lang="en-US"/>
          </a:p>
        </c:txPr>
        <c:crossAx val="1770240336"/>
        <c:crosses val="autoZero"/>
        <c:auto val="1"/>
        <c:lblAlgn val="ctr"/>
        <c:lblOffset val="100"/>
        <c:noMultiLvlLbl val="0"/>
      </c:catAx>
      <c:valAx>
        <c:axId val="1770240336"/>
        <c:scaling>
          <c:orientation val="minMax"/>
        </c:scaling>
        <c:delete val="1"/>
        <c:axPos val="b"/>
        <c:numFmt formatCode="\(0.00%\)" sourceLinked="1"/>
        <c:majorTickMark val="out"/>
        <c:minorTickMark val="none"/>
        <c:tickLblPos val="nextTo"/>
        <c:crossAx val="1770234512"/>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1-01E8-4D28-9A71-763227F68EE6}"/>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3-01E8-4D28-9A71-763227F68EE6}"/>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5-01E8-4D28-9A71-763227F68EE6}"/>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7-01E8-4D28-9A71-763227F68EE6}"/>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01E8-4D28-9A71-763227F68EE6}"/>
              </c:ext>
            </c:extLst>
          </c:dPt>
          <c:dLbls>
            <c:dLbl>
              <c:idx val="0"/>
              <c:layout>
                <c:manualLayout>
                  <c:x val="0.25104323136371826"/>
                  <c:y val="0.2578729614954644"/>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0960809466335543"/>
                      <c:h val="0.19212512494627915"/>
                    </c:manualLayout>
                  </c15:layout>
                </c:ext>
                <c:ext xmlns:c16="http://schemas.microsoft.com/office/drawing/2014/chart" uri="{C3380CC4-5D6E-409C-BE32-E72D297353CC}">
                  <c16:uniqueId val="{00000001-01E8-4D28-9A71-763227F68EE6}"/>
                </c:ext>
              </c:extLst>
            </c:dLbl>
            <c:dLbl>
              <c:idx val="1"/>
              <c:layout>
                <c:manualLayout>
                  <c:x val="-0.38419834989302765"/>
                  <c:y val="4.2159468978311396E-2"/>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318759761019949"/>
                      <c:h val="0.16455038224102925"/>
                    </c:manualLayout>
                  </c15:layout>
                </c:ext>
                <c:ext xmlns:c16="http://schemas.microsoft.com/office/drawing/2014/chart" uri="{C3380CC4-5D6E-409C-BE32-E72D297353CC}">
                  <c16:uniqueId val="{00000003-01E8-4D28-9A71-763227F68EE6}"/>
                </c:ext>
              </c:extLst>
            </c:dLbl>
            <c:dLbl>
              <c:idx val="2"/>
              <c:layout>
                <c:manualLayout>
                  <c:x val="9.5225746281314069E-2"/>
                  <c:y val="4.6629750509907383E-3"/>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4183503261026649"/>
                      <c:h val="0.16205972079577011"/>
                    </c:manualLayout>
                  </c15:layout>
                </c:ext>
                <c:ext xmlns:c16="http://schemas.microsoft.com/office/drawing/2014/chart" uri="{C3380CC4-5D6E-409C-BE32-E72D297353CC}">
                  <c16:uniqueId val="{00000005-01E8-4D28-9A71-763227F68EE6}"/>
                </c:ext>
              </c:extLst>
            </c:dLbl>
            <c:dLbl>
              <c:idx val="3"/>
              <c:layout>
                <c:manualLayout>
                  <c:x val="-0.31939889049667075"/>
                  <c:y val="0.37755820055338235"/>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14838788495"/>
                      <c:h val="0.19726504571769418"/>
                    </c:manualLayout>
                  </c15:layout>
                </c:ext>
                <c:ext xmlns:c16="http://schemas.microsoft.com/office/drawing/2014/chart" uri="{C3380CC4-5D6E-409C-BE32-E72D297353CC}">
                  <c16:uniqueId val="{00000007-01E8-4D28-9A71-763227F68EE6}"/>
                </c:ext>
              </c:extLst>
            </c:dLbl>
            <c:dLbl>
              <c:idx val="4"/>
              <c:layout>
                <c:manualLayout>
                  <c:x val="0.22915049904389201"/>
                  <c:y val="0.56870653635599366"/>
                </c:manualLayout>
              </c:layout>
              <c:spPr>
                <a:noFill/>
                <a:ln>
                  <a:noFill/>
                </a:ln>
                <a:effectLst/>
              </c:spPr>
              <c:txPr>
                <a:bodyPr rot="0" spcFirstLastPara="1" vertOverflow="ellipsis" vert="horz" wrap="square" anchor="ctr" anchorCtr="1"/>
                <a:lstStyle/>
                <a:p>
                  <a:pPr algn="l">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85667699227"/>
                      <c:h val="0.18383940031647564"/>
                    </c:manualLayout>
                  </c15:layout>
                </c:ext>
                <c:ext xmlns:c16="http://schemas.microsoft.com/office/drawing/2014/chart" uri="{C3380CC4-5D6E-409C-BE32-E72D297353CC}">
                  <c16:uniqueId val="{00000009-01E8-4D28-9A71-763227F68EE6}"/>
                </c:ext>
              </c:extLst>
            </c:dLbl>
            <c:spPr>
              <a:noFill/>
              <a:ln>
                <a:noFill/>
              </a:ln>
              <a:effectLst/>
            </c:spPr>
            <c:txPr>
              <a:bodyPr rot="0" spcFirstLastPara="1" vertOverflow="ellipsis" vert="horz" wrap="square" anchor="ctr" anchorCtr="1"/>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Result'!$C$30:$C$34</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Result'!$L$30:$L$34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A-01E8-4D28-9A71-763227F68EE6}"/>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latin typeface="TH SarabunPSK" panose="020B0500040200020003" pitchFamily="34" charset="-34"/>
          <a:cs typeface="TH SarabunPSK" panose="020B0500040200020003" pitchFamily="34" charset="-3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11203999411474"/>
          <c:y val="0.18752054868819854"/>
          <c:w val="0.42721217338888184"/>
          <c:h val="0.64090131433643294"/>
        </c:manualLayout>
      </c:layout>
      <c:pieChart>
        <c:varyColors val="1"/>
        <c:ser>
          <c:idx val="0"/>
          <c:order val="0"/>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1-01E8-4D28-9A71-763227F68EE6}"/>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3-01E8-4D28-9A71-763227F68EE6}"/>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5-01E8-4D28-9A71-763227F68EE6}"/>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7-01E8-4D28-9A71-763227F68EE6}"/>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01E8-4D28-9A71-763227F68EE6}"/>
              </c:ext>
            </c:extLst>
          </c:dPt>
          <c:dLbls>
            <c:dLbl>
              <c:idx val="0"/>
              <c:layout>
                <c:manualLayout>
                  <c:x val="-1.4769926499946863E-2"/>
                  <c:y val="-5.3284520177946951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85482119760595"/>
                      <c:h val="0.19212530968397043"/>
                    </c:manualLayout>
                  </c15:layout>
                </c:ext>
                <c:ext xmlns:c16="http://schemas.microsoft.com/office/drawing/2014/chart" uri="{C3380CC4-5D6E-409C-BE32-E72D297353CC}">
                  <c16:uniqueId val="{00000001-01E8-4D28-9A71-763227F68EE6}"/>
                </c:ext>
              </c:extLst>
            </c:dLbl>
            <c:dLbl>
              <c:idx val="1"/>
              <c:layout>
                <c:manualLayout>
                  <c:x val="2.3816127719756906E-2"/>
                  <c:y val="-6.7554338316406101E-2"/>
                </c:manualLayout>
              </c:layout>
              <c:tx>
                <c:rich>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fld id="{1CA880D1-CA03-4581-8FD8-F5A773EB3B0C}" type="CATEGORYNAME">
                      <a:rPr lang="en-US" b="1"/>
                      <a:pPr algn="r">
                        <a:defRPr b="1"/>
                      </a:pPr>
                      <a:t>[CATEGORY NAME]</a:t>
                    </a:fld>
                    <a:r>
                      <a:rPr lang="en-US" b="1"/>
                      <a:t>, 22.83%</a:t>
                    </a:r>
                  </a:p>
                </c:rich>
              </c:tx>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318759761019949"/>
                      <c:h val="0.16455038224102925"/>
                    </c:manualLayout>
                  </c15:layout>
                  <c15:dlblFieldTable/>
                  <c15:showDataLabelsRange val="0"/>
                </c:ext>
                <c:ext xmlns:c16="http://schemas.microsoft.com/office/drawing/2014/chart" uri="{C3380CC4-5D6E-409C-BE32-E72D297353CC}">
                  <c16:uniqueId val="{00000003-01E8-4D28-9A71-763227F68EE6}"/>
                </c:ext>
              </c:extLst>
            </c:dLbl>
            <c:dLbl>
              <c:idx val="2"/>
              <c:layout>
                <c:manualLayout>
                  <c:x val="3.8421261701008361E-2"/>
                  <c:y val="6.5567418334797928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4487397571224137"/>
                      <c:h val="0.16205972079577011"/>
                    </c:manualLayout>
                  </c15:layout>
                </c:ext>
                <c:ext xmlns:c16="http://schemas.microsoft.com/office/drawing/2014/chart" uri="{C3380CC4-5D6E-409C-BE32-E72D297353CC}">
                  <c16:uniqueId val="{00000005-01E8-4D28-9A71-763227F68EE6}"/>
                </c:ext>
              </c:extLst>
            </c:dLbl>
            <c:dLbl>
              <c:idx val="3"/>
              <c:layout>
                <c:manualLayout>
                  <c:x val="2.7933172137109982E-2"/>
                  <c:y val="5.0854836589242509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07645547392"/>
                      <c:h val="0.18286563607578477"/>
                    </c:manualLayout>
                  </c15:layout>
                </c:ext>
                <c:ext xmlns:c16="http://schemas.microsoft.com/office/drawing/2014/chart" uri="{C3380CC4-5D6E-409C-BE32-E72D297353CC}">
                  <c16:uniqueId val="{00000007-01E8-4D28-9A71-763227F68EE6}"/>
                </c:ext>
              </c:extLst>
            </c:dLbl>
            <c:dLbl>
              <c:idx val="4"/>
              <c:layout>
                <c:manualLayout>
                  <c:x val="0.22575952870355265"/>
                  <c:y val="1.4173433272034164E-3"/>
                </c:manualLayout>
              </c:layout>
              <c:spPr>
                <a:noFill/>
                <a:ln>
                  <a:noFill/>
                </a:ln>
                <a:effectLst/>
              </c:spPr>
              <c:txPr>
                <a:bodyPr rot="0" spcFirstLastPara="1" vertOverflow="ellipsis" vert="horz" wrap="square" anchor="ctr" anchorCtr="1"/>
                <a:lstStyle/>
                <a:p>
                  <a:pPr algn="l">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90385523192"/>
                      <c:h val="0.18560166670647132"/>
                    </c:manualLayout>
                  </c15:layout>
                </c:ext>
                <c:ext xmlns:c16="http://schemas.microsoft.com/office/drawing/2014/chart" uri="{C3380CC4-5D6E-409C-BE32-E72D297353CC}">
                  <c16:uniqueId val="{00000009-01E8-4D28-9A71-763227F68EE6}"/>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val>
            <c:numRef>
              <c:f>'Overview Result'!#REF!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'Overview Result'!#REF!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'Overview Result'!#REF!</c15:sqref>
                        </c15:formulaRef>
                      </c:ext>
                    </c:extLst>
                  </c:multiLvlStrRef>
                </c15:cat>
              </c15:filteredCategoryTitle>
            </c:ext>
            <c:ext xmlns:c16="http://schemas.microsoft.com/office/drawing/2014/chart" uri="{C3380CC4-5D6E-409C-BE32-E72D297353CC}">
              <c16:uniqueId val="{0000000A-01E8-4D28-9A71-763227F68EE6}"/>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000">
          <a:latin typeface="TH SarabunPSK" panose="020B0500040200020003" pitchFamily="34" charset="-34"/>
          <a:cs typeface="TH SarabunPSK" panose="020B0500040200020003" pitchFamily="34" charset="-3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spPr>
            <a:ln>
              <a:solidFill>
                <a:schemeClr val="bg1">
                  <a:lumMod val="65000"/>
                </a:schemeClr>
              </a:solidFill>
            </a:ln>
          </c:spPr>
          <c:dPt>
            <c:idx val="0"/>
            <c:bubble3D val="0"/>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5-9B5E-4A25-8531-703A4809587B}"/>
              </c:ext>
            </c:extLst>
          </c:dPt>
          <c:dPt>
            <c:idx val="1"/>
            <c:bubble3D val="0"/>
            <c:explosion val="3"/>
            <c:spPr>
              <a:solidFill>
                <a:srgbClr val="7030A0"/>
              </a:solidFill>
              <a:ln w="19050">
                <a:solidFill>
                  <a:schemeClr val="bg1">
                    <a:lumMod val="65000"/>
                  </a:schemeClr>
                </a:solidFill>
              </a:ln>
              <a:effectLst/>
            </c:spPr>
            <c:extLst>
              <c:ext xmlns:c16="http://schemas.microsoft.com/office/drawing/2014/chart" uri="{C3380CC4-5D6E-409C-BE32-E72D297353CC}">
                <c16:uniqueId val="{00000006-9B5E-4A25-8531-703A4809587B}"/>
              </c:ext>
            </c:extLst>
          </c:dPt>
          <c:dPt>
            <c:idx val="2"/>
            <c:bubble3D val="0"/>
            <c:explosion val="7"/>
            <c:spPr>
              <a:solidFill>
                <a:srgbClr val="663300"/>
              </a:solidFill>
              <a:ln w="19050">
                <a:solidFill>
                  <a:schemeClr val="bg1">
                    <a:lumMod val="65000"/>
                  </a:schemeClr>
                </a:solidFill>
              </a:ln>
              <a:effectLst/>
            </c:spPr>
            <c:extLst>
              <c:ext xmlns:c16="http://schemas.microsoft.com/office/drawing/2014/chart" uri="{C3380CC4-5D6E-409C-BE32-E72D297353CC}">
                <c16:uniqueId val="{00000007-9B5E-4A25-8531-703A4809587B}"/>
              </c:ext>
            </c:extLst>
          </c:dPt>
          <c:dPt>
            <c:idx val="3"/>
            <c:bubble3D val="0"/>
            <c:spPr>
              <a:solidFill>
                <a:schemeClr val="accent4"/>
              </a:solidFill>
              <a:ln w="19050">
                <a:solidFill>
                  <a:schemeClr val="bg1">
                    <a:lumMod val="65000"/>
                  </a:schemeClr>
                </a:solidFill>
              </a:ln>
              <a:effectLst/>
            </c:spPr>
            <c:extLst>
              <c:ext xmlns:c16="http://schemas.microsoft.com/office/drawing/2014/chart" uri="{C3380CC4-5D6E-409C-BE32-E72D297353CC}">
                <c16:uniqueId val="{00000008-9B5E-4A25-8531-703A4809587B}"/>
              </c:ext>
            </c:extLst>
          </c:dPt>
          <c:dPt>
            <c:idx val="4"/>
            <c:bubble3D val="0"/>
            <c:spPr>
              <a:solidFill>
                <a:schemeClr val="accent5"/>
              </a:solidFill>
              <a:ln w="19050">
                <a:solidFill>
                  <a:schemeClr val="bg1">
                    <a:lumMod val="65000"/>
                  </a:schemeClr>
                </a:solidFill>
              </a:ln>
              <a:effectLst/>
            </c:spPr>
            <c:extLst>
              <c:ext xmlns:c16="http://schemas.microsoft.com/office/drawing/2014/chart" uri="{C3380CC4-5D6E-409C-BE32-E72D297353CC}">
                <c16:uniqueId val="{00000009-9B5E-4A25-8531-703A4809587B}"/>
              </c:ext>
            </c:extLst>
          </c:dPt>
          <c:dLbls>
            <c:dLbl>
              <c:idx val="0"/>
              <c:layout>
                <c:manualLayout>
                  <c:x val="-1.9573178352705913E-2"/>
                  <c:y val="0.1987822118826055"/>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753562054743158"/>
                      <c:h val="0.19212538773562393"/>
                    </c:manualLayout>
                  </c15:layout>
                </c:ext>
                <c:ext xmlns:c16="http://schemas.microsoft.com/office/drawing/2014/chart" uri="{C3380CC4-5D6E-409C-BE32-E72D297353CC}">
                  <c16:uniqueId val="{00000005-9B5E-4A25-8531-703A4809587B}"/>
                </c:ext>
              </c:extLst>
            </c:dLbl>
            <c:dLbl>
              <c:idx val="1"/>
              <c:layout>
                <c:manualLayout>
                  <c:x val="9.2615454318210222E-2"/>
                  <c:y val="3.4539588801399825E-2"/>
                </c:manualLayout>
              </c:layout>
              <c:spPr>
                <a:noFill/>
                <a:ln>
                  <a:noFill/>
                </a:ln>
                <a:effectLst/>
              </c:spPr>
              <c:txPr>
                <a:bodyPr rot="0" spcFirstLastPara="1" vertOverflow="ellipsis" vert="horz" wrap="square" lIns="38100" tIns="19050" rIns="38100" bIns="19050" anchor="ctr" anchorCtr="0">
                  <a:sp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7866376077990249"/>
                      <c:h val="0.16455042551499241"/>
                    </c:manualLayout>
                  </c15:layout>
                </c:ext>
                <c:ext xmlns:c16="http://schemas.microsoft.com/office/drawing/2014/chart" uri="{C3380CC4-5D6E-409C-BE32-E72D297353CC}">
                  <c16:uniqueId val="{00000006-9B5E-4A25-8531-703A4809587B}"/>
                </c:ext>
              </c:extLst>
            </c:dLbl>
            <c:dLbl>
              <c:idx val="2"/>
              <c:layout>
                <c:manualLayout>
                  <c:x val="6.9781132011800398E-3"/>
                  <c:y val="5.7127376123439115E-3"/>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684997662533867"/>
                      <c:h val="0.14466845991803909"/>
                    </c:manualLayout>
                  </c15:layout>
                </c:ext>
                <c:ext xmlns:c16="http://schemas.microsoft.com/office/drawing/2014/chart" uri="{C3380CC4-5D6E-409C-BE32-E72D297353CC}">
                  <c16:uniqueId val="{00000007-9B5E-4A25-8531-703A4809587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Result'!$C$15:$C$19</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Result'!$L$15:$L$19</c:f>
              <c:numCache>
                <c:formatCode>0.00%</c:formatCode>
                <c:ptCount val="5"/>
                <c:pt idx="0">
                  <c:v>0</c:v>
                </c:pt>
                <c:pt idx="1">
                  <c:v>0</c:v>
                </c:pt>
                <c:pt idx="2">
                  <c:v>0</c:v>
                </c:pt>
              </c:numCache>
            </c:numRef>
          </c:val>
          <c:extLst>
            <c:ext xmlns:c16="http://schemas.microsoft.com/office/drawing/2014/chart" uri="{C3380CC4-5D6E-409C-BE32-E72D297353CC}">
              <c16:uniqueId val="{00000000-9B5E-4A25-8531-703A4809587B}"/>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5-9B5E-4A25-8531-703A4809587B}"/>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6-9B5E-4A25-8531-703A4809587B}"/>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7-9B5E-4A25-8531-703A4809587B}"/>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8-9B5E-4A25-8531-703A4809587B}"/>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9B5E-4A25-8531-703A4809587B}"/>
              </c:ext>
            </c:extLst>
          </c:dPt>
          <c:dLbls>
            <c:dLbl>
              <c:idx val="0"/>
              <c:layout>
                <c:manualLayout>
                  <c:x val="-1.532152230971136E-2"/>
                  <c:y val="0.1449014753837588"/>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691910386201725"/>
                      <c:h val="0.19212538773562393"/>
                    </c:manualLayout>
                  </c15:layout>
                </c:ext>
                <c:ext xmlns:c16="http://schemas.microsoft.com/office/drawing/2014/chart" uri="{C3380CC4-5D6E-409C-BE32-E72D297353CC}">
                  <c16:uniqueId val="{00000005-9B5E-4A25-8531-703A4809587B}"/>
                </c:ext>
              </c:extLst>
            </c:dLbl>
            <c:dLbl>
              <c:idx val="1"/>
              <c:layout>
                <c:manualLayout>
                  <c:x val="0.24452088898007174"/>
                  <c:y val="-3.2103939631259529E-2"/>
                </c:manualLayout>
              </c:layout>
              <c:spPr>
                <a:noFill/>
                <a:ln>
                  <a:noFill/>
                </a:ln>
                <a:effectLst/>
              </c:spPr>
              <c:txPr>
                <a:bodyPr rot="0" spcFirstLastPara="1" vertOverflow="ellipsis" vert="horz" wrap="square" lIns="38100" tIns="19050" rIns="38100" bIns="19050" anchor="ctr" anchorCtr="0">
                  <a:sp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37469550681164854"/>
                      <c:h val="0.16455042551499241"/>
                    </c:manualLayout>
                  </c15:layout>
                </c:ext>
                <c:ext xmlns:c16="http://schemas.microsoft.com/office/drawing/2014/chart" uri="{C3380CC4-5D6E-409C-BE32-E72D297353CC}">
                  <c16:uniqueId val="{00000006-9B5E-4A25-8531-703A4809587B}"/>
                </c:ext>
              </c:extLst>
            </c:dLbl>
            <c:dLbl>
              <c:idx val="2"/>
              <c:layout>
                <c:manualLayout>
                  <c:x val="-0.29722329844274614"/>
                  <c:y val="0.29387408022914197"/>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4183505910559558"/>
                      <c:h val="0.14466848324002321"/>
                    </c:manualLayout>
                  </c15:layout>
                </c:ext>
                <c:ext xmlns:c16="http://schemas.microsoft.com/office/drawing/2014/chart" uri="{C3380CC4-5D6E-409C-BE32-E72D297353CC}">
                  <c16:uniqueId val="{00000007-9B5E-4A25-8531-703A4809587B}"/>
                </c:ext>
              </c:extLst>
            </c:dLbl>
            <c:dLbl>
              <c:idx val="3"/>
              <c:layout>
                <c:manualLayout>
                  <c:x val="-0.21031746031746032"/>
                  <c:y val="-6.5230951244730773E-2"/>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08904924861"/>
                      <c:h val="0.14884947078959951"/>
                    </c:manualLayout>
                  </c15:layout>
                </c:ext>
                <c:ext xmlns:c16="http://schemas.microsoft.com/office/drawing/2014/chart" uri="{C3380CC4-5D6E-409C-BE32-E72D297353CC}">
                  <c16:uniqueId val="{00000008-9B5E-4A25-8531-703A4809587B}"/>
                </c:ext>
              </c:extLst>
            </c:dLbl>
            <c:dLbl>
              <c:idx val="4"/>
              <c:layout>
                <c:manualLayout>
                  <c:x val="0.22915153930221455"/>
                  <c:y val="0.38434537159319981"/>
                </c:manualLayout>
              </c:layout>
              <c:spPr>
                <a:noFill/>
                <a:ln>
                  <a:noFill/>
                </a:ln>
                <a:effectLst/>
              </c:spPr>
              <c:txPr>
                <a:bodyPr rot="0" spcFirstLastPara="1" vertOverflow="ellipsis" vert="horz" wrap="square" lIns="38100" tIns="19050" rIns="38100" bIns="19050" anchor="ctr" anchorCtr="0">
                  <a:noAutofit/>
                </a:bodyPr>
                <a:lstStyle/>
                <a:p>
                  <a:pPr algn="l">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91757116081"/>
                      <c:h val="0.15442015781973381"/>
                    </c:manualLayout>
                  </c15:layout>
                </c:ext>
                <c:ext xmlns:c16="http://schemas.microsoft.com/office/drawing/2014/chart" uri="{C3380CC4-5D6E-409C-BE32-E72D297353CC}">
                  <c16:uniqueId val="{00000009-9B5E-4A25-8531-703A4809587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Result'!$C$30:$C$34</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Result'!$L$30:$L$34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9B5E-4A25-8531-703A4809587B}"/>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2</xdr:col>
      <xdr:colOff>447675</xdr:colOff>
      <xdr:row>21</xdr:row>
      <xdr:rowOff>76200</xdr:rowOff>
    </xdr:from>
    <xdr:to>
      <xdr:col>2</xdr:col>
      <xdr:colOff>1419225</xdr:colOff>
      <xdr:row>25</xdr:row>
      <xdr:rowOff>95250</xdr:rowOff>
    </xdr:to>
    <xdr:pic>
      <xdr:nvPicPr>
        <xdr:cNvPr id="15" name="Picture 14">
          <a:extLst>
            <a:ext uri="{FF2B5EF4-FFF2-40B4-BE49-F238E27FC236}">
              <a16:creationId xmlns:a16="http://schemas.microsoft.com/office/drawing/2014/main" id="{D1F02E81-C899-4D5C-9637-0CFCD59C7C63}"/>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2733675" y="38100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398145</xdr:colOff>
      <xdr:row>21</xdr:row>
      <xdr:rowOff>76200</xdr:rowOff>
    </xdr:from>
    <xdr:to>
      <xdr:col>5</xdr:col>
      <xdr:colOff>1373505</xdr:colOff>
      <xdr:row>25</xdr:row>
      <xdr:rowOff>91440</xdr:rowOff>
    </xdr:to>
    <xdr:pic>
      <xdr:nvPicPr>
        <xdr:cNvPr id="16" name="Picture 15">
          <a:extLst>
            <a:ext uri="{FF2B5EF4-FFF2-40B4-BE49-F238E27FC236}">
              <a16:creationId xmlns:a16="http://schemas.microsoft.com/office/drawing/2014/main" id="{5C850F0E-3F19-4604-812C-07795421F55A}"/>
            </a:ext>
          </a:extLst>
        </xdr:cNvPr>
        <xdr:cNvPicPr>
          <a:picLocks noChangeAspect="1" noChangeArrowheads="1"/>
        </xdr:cNvPicPr>
      </xdr:nvPicPr>
      <xdr:blipFill>
        <a:blip xmlns:r="http://schemas.openxmlformats.org/officeDocument/2006/relationships" r:embed="rId2" cstate="print">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6970395" y="3333750"/>
          <a:ext cx="9753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27</xdr:row>
      <xdr:rowOff>95250</xdr:rowOff>
    </xdr:from>
    <xdr:to>
      <xdr:col>2</xdr:col>
      <xdr:colOff>1438275</xdr:colOff>
      <xdr:row>31</xdr:row>
      <xdr:rowOff>114300</xdr:rowOff>
    </xdr:to>
    <xdr:pic>
      <xdr:nvPicPr>
        <xdr:cNvPr id="17" name="Picture 16">
          <a:extLst>
            <a:ext uri="{FF2B5EF4-FFF2-40B4-BE49-F238E27FC236}">
              <a16:creationId xmlns:a16="http://schemas.microsoft.com/office/drawing/2014/main" id="{332471C6-3403-415D-8778-02CF1BC0380F}"/>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2752725" y="48577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447675</xdr:colOff>
      <xdr:row>27</xdr:row>
      <xdr:rowOff>85725</xdr:rowOff>
    </xdr:from>
    <xdr:to>
      <xdr:col>5</xdr:col>
      <xdr:colOff>1419225</xdr:colOff>
      <xdr:row>31</xdr:row>
      <xdr:rowOff>104775</xdr:rowOff>
    </xdr:to>
    <xdr:pic>
      <xdr:nvPicPr>
        <xdr:cNvPr id="18" name="Picture 17">
          <a:extLst>
            <a:ext uri="{FF2B5EF4-FFF2-40B4-BE49-F238E27FC236}">
              <a16:creationId xmlns:a16="http://schemas.microsoft.com/office/drawing/2014/main" id="{5AB38811-1E19-472E-838A-A7456E71D9BF}"/>
            </a:ext>
          </a:extLst>
        </xdr:cNvPr>
        <xdr:cNvPicPr>
          <a:picLocks noChangeAspect="1" noChangeArrowheads="1"/>
        </xdr:cNvPicPr>
      </xdr:nvPicPr>
      <xdr:blipFill>
        <a:blip xmlns:r="http://schemas.openxmlformats.org/officeDocument/2006/relationships" r:embed="rId4"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7019925" y="48482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33</xdr:row>
      <xdr:rowOff>76200</xdr:rowOff>
    </xdr:from>
    <xdr:to>
      <xdr:col>2</xdr:col>
      <xdr:colOff>1419225</xdr:colOff>
      <xdr:row>37</xdr:row>
      <xdr:rowOff>95250</xdr:rowOff>
    </xdr:to>
    <xdr:pic>
      <xdr:nvPicPr>
        <xdr:cNvPr id="19" name="Picture 18">
          <a:extLst>
            <a:ext uri="{FF2B5EF4-FFF2-40B4-BE49-F238E27FC236}">
              <a16:creationId xmlns:a16="http://schemas.microsoft.com/office/drawing/2014/main" id="{85EE769B-E814-45AE-B393-09F413E9ADFE}"/>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2733675" y="58674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1815</xdr:colOff>
      <xdr:row>65</xdr:row>
      <xdr:rowOff>52614</xdr:rowOff>
    </xdr:from>
    <xdr:to>
      <xdr:col>13</xdr:col>
      <xdr:colOff>1252682</xdr:colOff>
      <xdr:row>103</xdr:row>
      <xdr:rowOff>84282</xdr:rowOff>
    </xdr:to>
    <xdr:graphicFrame macro="">
      <xdr:nvGraphicFramePr>
        <xdr:cNvPr id="12" name="Chart 11">
          <a:extLst>
            <a:ext uri="{FF2B5EF4-FFF2-40B4-BE49-F238E27FC236}">
              <a16:creationId xmlns:a16="http://schemas.microsoft.com/office/drawing/2014/main" id="{B3C6F3F8-0961-4971-A8AA-C675A6DA17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268740</xdr:colOff>
      <xdr:row>75</xdr:row>
      <xdr:rowOff>59192</xdr:rowOff>
    </xdr:from>
    <xdr:to>
      <xdr:col>13</xdr:col>
      <xdr:colOff>1126918</xdr:colOff>
      <xdr:row>100</xdr:row>
      <xdr:rowOff>77004</xdr:rowOff>
    </xdr:to>
    <xdr:graphicFrame macro="">
      <xdr:nvGraphicFramePr>
        <xdr:cNvPr id="3" name="Chart 2">
          <a:extLst>
            <a:ext uri="{FF2B5EF4-FFF2-40B4-BE49-F238E27FC236}">
              <a16:creationId xmlns:a16="http://schemas.microsoft.com/office/drawing/2014/main" id="{02F61D7C-972C-4FF6-AB5B-DD8CA8DAD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1260763</xdr:colOff>
      <xdr:row>75</xdr:row>
      <xdr:rowOff>8660</xdr:rowOff>
    </xdr:from>
    <xdr:to>
      <xdr:col>27</xdr:col>
      <xdr:colOff>1078922</xdr:colOff>
      <xdr:row>102</xdr:row>
      <xdr:rowOff>0</xdr:rowOff>
    </xdr:to>
    <xdr:graphicFrame macro="">
      <xdr:nvGraphicFramePr>
        <xdr:cNvPr id="6" name="Chart 5">
          <a:extLst>
            <a:ext uri="{FF2B5EF4-FFF2-40B4-BE49-F238E27FC236}">
              <a16:creationId xmlns:a16="http://schemas.microsoft.com/office/drawing/2014/main" id="{71BE9977-565A-44AC-8731-4B7EB54B1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0.62723</cdr:x>
      <cdr:y>0.93419</cdr:y>
    </cdr:from>
    <cdr:to>
      <cdr:x>0.99506</cdr:x>
      <cdr:y>0.99903</cdr:y>
    </cdr:to>
    <cdr:sp macro="" textlink="">
      <cdr:nvSpPr>
        <cdr:cNvPr id="2" name="Rectangle 1">
          <a:extLst xmlns:a="http://schemas.openxmlformats.org/drawingml/2006/main">
            <a:ext uri="{FF2B5EF4-FFF2-40B4-BE49-F238E27FC236}">
              <a16:creationId xmlns:a16="http://schemas.microsoft.com/office/drawing/2014/main" id="{1173925C-6F34-46A7-89F1-FD3F76B50505}"/>
            </a:ext>
          </a:extLst>
        </cdr:cNvPr>
        <cdr:cNvSpPr/>
      </cdr:nvSpPr>
      <cdr:spPr>
        <a:xfrm xmlns:a="http://schemas.openxmlformats.org/drawingml/2006/main">
          <a:off x="10795508" y="5686729"/>
          <a:ext cx="6330833" cy="394723"/>
        </a:xfrm>
        <a:prstGeom xmlns:a="http://schemas.openxmlformats.org/drawingml/2006/main" prst="rect">
          <a:avLst/>
        </a:prstGeom>
      </cdr:spPr>
      <cdr:txBody>
        <a:bodyPr xmlns:a="http://schemas.openxmlformats.org/drawingml/2006/main" wrap="square">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685800" rtl="0" eaLnBrk="1" fontAlgn="auto" latinLnBrk="0" hangingPunct="1">
            <a:lnSpc>
              <a:spcPct val="100000"/>
            </a:lnSpc>
            <a:spcBef>
              <a:spcPts val="0"/>
            </a:spcBef>
            <a:spcAft>
              <a:spcPts val="0"/>
            </a:spcAft>
            <a:buClrTx/>
            <a:buSzTx/>
            <a:buFontTx/>
            <a:buNone/>
            <a:tabLst/>
            <a:defRPr/>
          </a:pPr>
          <a:r>
            <a:rPr kumimoji="0" lang="th-TH"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หมายเหตุ</a:t>
          </a:r>
          <a:r>
            <a:rPr kumimoji="0" lang="en-US"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 : % </a:t>
          </a:r>
          <a:r>
            <a:rPr kumimoji="0" lang="th-TH"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คือ สัดส่วนจากการปล่อยก๊าซเรือนกระจกทั้งหมด</a:t>
          </a:r>
          <a:endParaRPr kumimoji="0" lang="en-US"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endParaRPr>
        </a:p>
      </cdr:txBody>
    </cdr:sp>
  </cdr:relSizeAnchor>
  <cdr:relSizeAnchor xmlns:cdr="http://schemas.openxmlformats.org/drawingml/2006/chartDrawing">
    <cdr:from>
      <cdr:x>0.17338</cdr:x>
      <cdr:y>0.00731</cdr:y>
    </cdr:from>
    <cdr:to>
      <cdr:x>0.27288</cdr:x>
      <cdr:y>0.05263</cdr:y>
    </cdr:to>
    <cdr:sp macro="" textlink="">
      <cdr:nvSpPr>
        <cdr:cNvPr id="3" name="Rectangle 2">
          <a:extLst xmlns:a="http://schemas.openxmlformats.org/drawingml/2006/main">
            <a:ext uri="{FF2B5EF4-FFF2-40B4-BE49-F238E27FC236}">
              <a16:creationId xmlns:a16="http://schemas.microsoft.com/office/drawing/2014/main" id="{AB6D160D-C9B9-47F5-9885-186CDD008DD1}"/>
            </a:ext>
          </a:extLst>
        </cdr:cNvPr>
        <cdr:cNvSpPr/>
      </cdr:nvSpPr>
      <cdr:spPr>
        <a:xfrm xmlns:a="http://schemas.openxmlformats.org/drawingml/2006/main">
          <a:off x="2978089" y="45609"/>
          <a:ext cx="1709079" cy="28264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15000"/>
            </a:lnSpc>
            <a:spcAft>
              <a:spcPts val="1000"/>
            </a:spcAft>
          </a:pPr>
          <a:r>
            <a:rPr lang="th-TH" sz="2000" b="1">
              <a:solidFill>
                <a:sysClr val="windowText" lastClr="000000"/>
              </a:solidFill>
              <a:effectLst/>
              <a:latin typeface="TH SarabunPSK" panose="020B0500040200020003" pitchFamily="34" charset="-34"/>
              <a:ea typeface="+mn-ea"/>
              <a:cs typeface="TH SarabunPSK" panose="020B0500040200020003" pitchFamily="34" charset="-34"/>
            </a:rPr>
            <a:t>(</a:t>
          </a:r>
          <a:r>
            <a:rPr lang="en-US" sz="2000" b="1">
              <a:solidFill>
                <a:sysClr val="windowText" lastClr="000000"/>
              </a:solidFill>
              <a:effectLst/>
              <a:latin typeface="TH SarabunPSK" panose="020B0500040200020003" pitchFamily="34" charset="-34"/>
              <a:ea typeface="+mn-ea"/>
              <a:cs typeface="TH SarabunPSK" panose="020B0500040200020003" pitchFamily="34" charset="-34"/>
            </a:rPr>
            <a:t>tCO</a:t>
          </a:r>
          <a:r>
            <a:rPr lang="en-US" sz="2000" b="1" baseline="-25000">
              <a:solidFill>
                <a:sysClr val="windowText" lastClr="000000"/>
              </a:solidFill>
              <a:effectLst/>
              <a:latin typeface="TH SarabunPSK" panose="020B0500040200020003" pitchFamily="34" charset="-34"/>
              <a:ea typeface="+mn-ea"/>
              <a:cs typeface="TH SarabunPSK" panose="020B0500040200020003" pitchFamily="34" charset="-34"/>
            </a:rPr>
            <a:t>2</a:t>
          </a:r>
          <a:r>
            <a:rPr lang="en-US" sz="2000" b="1">
              <a:solidFill>
                <a:sysClr val="windowText" lastClr="000000"/>
              </a:solidFill>
              <a:effectLst/>
              <a:latin typeface="TH SarabunPSK" panose="020B0500040200020003" pitchFamily="34" charset="-34"/>
              <a:ea typeface="+mn-ea"/>
              <a:cs typeface="TH SarabunPSK" panose="020B0500040200020003" pitchFamily="34" charset="-34"/>
            </a:rPr>
            <a:t>eq,</a:t>
          </a:r>
          <a:r>
            <a:rPr lang="en-US" sz="2000" b="1" baseline="0">
              <a:solidFill>
                <a:sysClr val="windowText" lastClr="000000"/>
              </a:solidFill>
              <a:effectLst/>
              <a:latin typeface="TH SarabunPSK" panose="020B0500040200020003" pitchFamily="34" charset="-34"/>
              <a:ea typeface="+mn-ea"/>
              <a:cs typeface="TH SarabunPSK" panose="020B0500040200020003" pitchFamily="34" charset="-34"/>
            </a:rPr>
            <a:t> %</a:t>
          </a:r>
          <a:r>
            <a:rPr lang="th-TH" sz="2000" b="1" baseline="0">
              <a:solidFill>
                <a:sysClr val="windowText" lastClr="000000"/>
              </a:solidFill>
              <a:effectLst/>
              <a:latin typeface="TH SarabunPSK" panose="020B0500040200020003" pitchFamily="34" charset="-34"/>
              <a:ea typeface="+mn-ea"/>
              <a:cs typeface="TH SarabunPSK" panose="020B0500040200020003" pitchFamily="34" charset="-34"/>
            </a:rPr>
            <a:t>)</a:t>
          </a:r>
          <a:endParaRPr lang="en-US" sz="2000" b="1">
            <a:solidFill>
              <a:sysClr val="windowText" lastClr="000000"/>
            </a:solidFill>
            <a:effectLst/>
            <a:latin typeface="TH SarabunPSK" panose="020B0500040200020003" pitchFamily="34" charset="-34"/>
            <a:ea typeface="Calibri" panose="020F0502020204030204" pitchFamily="34" charset="0"/>
            <a:cs typeface="TH SarabunPSK" panose="020B0500040200020003" pitchFamily="34" charset="-34"/>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304421</xdr:colOff>
      <xdr:row>14</xdr:row>
      <xdr:rowOff>210788</xdr:rowOff>
    </xdr:from>
    <xdr:to>
      <xdr:col>3</xdr:col>
      <xdr:colOff>1266446</xdr:colOff>
      <xdr:row>14</xdr:row>
      <xdr:rowOff>871007</xdr:rowOff>
    </xdr:to>
    <xdr:pic>
      <xdr:nvPicPr>
        <xdr:cNvPr id="2" name="Picture 1">
          <a:extLst>
            <a:ext uri="{FF2B5EF4-FFF2-40B4-BE49-F238E27FC236}">
              <a16:creationId xmlns:a16="http://schemas.microsoft.com/office/drawing/2014/main" id="{4D3F9178-3570-4C49-B13B-BFB60B70BF15}"/>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696312" y="2787733"/>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220970</xdr:colOff>
      <xdr:row>15</xdr:row>
      <xdr:rowOff>148022</xdr:rowOff>
    </xdr:from>
    <xdr:to>
      <xdr:col>3</xdr:col>
      <xdr:colOff>1194425</xdr:colOff>
      <xdr:row>15</xdr:row>
      <xdr:rowOff>820215</xdr:rowOff>
    </xdr:to>
    <xdr:pic>
      <xdr:nvPicPr>
        <xdr:cNvPr id="3" name="Picture 2">
          <a:extLst>
            <a:ext uri="{FF2B5EF4-FFF2-40B4-BE49-F238E27FC236}">
              <a16:creationId xmlns:a16="http://schemas.microsoft.com/office/drawing/2014/main" id="{127B5F6F-34D5-43BC-A7E7-6D3C92C8185F}"/>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12861" y="3736349"/>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257944</xdr:colOff>
      <xdr:row>16</xdr:row>
      <xdr:rowOff>173955</xdr:rowOff>
    </xdr:from>
    <xdr:to>
      <xdr:col>3</xdr:col>
      <xdr:colOff>1223779</xdr:colOff>
      <xdr:row>16</xdr:row>
      <xdr:rowOff>853767</xdr:rowOff>
    </xdr:to>
    <xdr:pic>
      <xdr:nvPicPr>
        <xdr:cNvPr id="4" name="Picture 3">
          <a:extLst>
            <a:ext uri="{FF2B5EF4-FFF2-40B4-BE49-F238E27FC236}">
              <a16:creationId xmlns:a16="http://schemas.microsoft.com/office/drawing/2014/main" id="{D745947D-C0FF-492F-B1B4-FA825567117A}"/>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49835" y="4773664"/>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266795</xdr:colOff>
      <xdr:row>17</xdr:row>
      <xdr:rowOff>194213</xdr:rowOff>
    </xdr:from>
    <xdr:to>
      <xdr:col>3</xdr:col>
      <xdr:colOff>1238345</xdr:colOff>
      <xdr:row>17</xdr:row>
      <xdr:rowOff>856881</xdr:rowOff>
    </xdr:to>
    <xdr:pic>
      <xdr:nvPicPr>
        <xdr:cNvPr id="5" name="Picture 4">
          <a:extLst>
            <a:ext uri="{FF2B5EF4-FFF2-40B4-BE49-F238E27FC236}">
              <a16:creationId xmlns:a16="http://schemas.microsoft.com/office/drawing/2014/main" id="{C260E8D2-184E-48B2-BDA6-256047FE5DBA}"/>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64624" y="5767699"/>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258519</xdr:colOff>
      <xdr:row>18</xdr:row>
      <xdr:rowOff>124242</xdr:rowOff>
    </xdr:from>
    <xdr:to>
      <xdr:col>3</xdr:col>
      <xdr:colOff>1237689</xdr:colOff>
      <xdr:row>18</xdr:row>
      <xdr:rowOff>856579</xdr:rowOff>
    </xdr:to>
    <xdr:pic>
      <xdr:nvPicPr>
        <xdr:cNvPr id="6" name="Picture 5">
          <a:extLst>
            <a:ext uri="{FF2B5EF4-FFF2-40B4-BE49-F238E27FC236}">
              <a16:creationId xmlns:a16="http://schemas.microsoft.com/office/drawing/2014/main" id="{9563A22B-7247-4FAD-BB5F-0B5EB5F7A011}"/>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56348" y="6710099"/>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318276</xdr:colOff>
      <xdr:row>29</xdr:row>
      <xdr:rowOff>183078</xdr:rowOff>
    </xdr:from>
    <xdr:to>
      <xdr:col>3</xdr:col>
      <xdr:colOff>1280301</xdr:colOff>
      <xdr:row>29</xdr:row>
      <xdr:rowOff>843297</xdr:rowOff>
    </xdr:to>
    <xdr:pic>
      <xdr:nvPicPr>
        <xdr:cNvPr id="19" name="Picture 18">
          <a:extLst>
            <a:ext uri="{FF2B5EF4-FFF2-40B4-BE49-F238E27FC236}">
              <a16:creationId xmlns:a16="http://schemas.microsoft.com/office/drawing/2014/main" id="{22E27EDD-9318-496D-9588-F0798FAD1269}"/>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710167" y="9576460"/>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220970</xdr:colOff>
      <xdr:row>30</xdr:row>
      <xdr:rowOff>258857</xdr:rowOff>
    </xdr:from>
    <xdr:to>
      <xdr:col>3</xdr:col>
      <xdr:colOff>1194425</xdr:colOff>
      <xdr:row>30</xdr:row>
      <xdr:rowOff>931050</xdr:rowOff>
    </xdr:to>
    <xdr:pic>
      <xdr:nvPicPr>
        <xdr:cNvPr id="20" name="Picture 19">
          <a:extLst>
            <a:ext uri="{FF2B5EF4-FFF2-40B4-BE49-F238E27FC236}">
              <a16:creationId xmlns:a16="http://schemas.microsoft.com/office/drawing/2014/main" id="{7AEF8ADA-24A6-46DE-8EB3-DE64F4869311}"/>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12861" y="10663621"/>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271799</xdr:colOff>
      <xdr:row>31</xdr:row>
      <xdr:rowOff>146246</xdr:rowOff>
    </xdr:from>
    <xdr:to>
      <xdr:col>3</xdr:col>
      <xdr:colOff>1237634</xdr:colOff>
      <xdr:row>31</xdr:row>
      <xdr:rowOff>826058</xdr:rowOff>
    </xdr:to>
    <xdr:pic>
      <xdr:nvPicPr>
        <xdr:cNvPr id="21" name="Picture 20">
          <a:extLst>
            <a:ext uri="{FF2B5EF4-FFF2-40B4-BE49-F238E27FC236}">
              <a16:creationId xmlns:a16="http://schemas.microsoft.com/office/drawing/2014/main" id="{AE852ADB-318F-4BD6-8498-DA5EDAA10F07}"/>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63690" y="11562391"/>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280650</xdr:colOff>
      <xdr:row>32</xdr:row>
      <xdr:rowOff>166504</xdr:rowOff>
    </xdr:from>
    <xdr:to>
      <xdr:col>3</xdr:col>
      <xdr:colOff>1252200</xdr:colOff>
      <xdr:row>32</xdr:row>
      <xdr:rowOff>829172</xdr:rowOff>
    </xdr:to>
    <xdr:pic>
      <xdr:nvPicPr>
        <xdr:cNvPr id="22" name="Picture 21">
          <a:extLst>
            <a:ext uri="{FF2B5EF4-FFF2-40B4-BE49-F238E27FC236}">
              <a16:creationId xmlns:a16="http://schemas.microsoft.com/office/drawing/2014/main" id="{23962CC1-E38D-45FB-95CC-0FBCEA5A03B6}"/>
            </a:ext>
          </a:extLst>
        </xdr:cNvPr>
        <xdr:cNvPicPr>
          <a:picLocks noChangeAspect="1" noChangeArrowheads="1"/>
        </xdr:cNvPicPr>
      </xdr:nvPicPr>
      <xdr:blipFill>
        <a:blip xmlns:r="http://schemas.openxmlformats.org/officeDocument/2006/relationships" r:embed="rId4"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72541" y="12594031"/>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272374</xdr:colOff>
      <xdr:row>33</xdr:row>
      <xdr:rowOff>96533</xdr:rowOff>
    </xdr:from>
    <xdr:to>
      <xdr:col>3</xdr:col>
      <xdr:colOff>1251544</xdr:colOff>
      <xdr:row>33</xdr:row>
      <xdr:rowOff>828870</xdr:rowOff>
    </xdr:to>
    <xdr:pic>
      <xdr:nvPicPr>
        <xdr:cNvPr id="23" name="Picture 22">
          <a:extLst>
            <a:ext uri="{FF2B5EF4-FFF2-40B4-BE49-F238E27FC236}">
              <a16:creationId xmlns:a16="http://schemas.microsoft.com/office/drawing/2014/main" id="{1C7A4A6C-164B-41EC-ABF7-9E5571D4AC90}"/>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64265" y="13535442"/>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318275</xdr:colOff>
      <xdr:row>39</xdr:row>
      <xdr:rowOff>210788</xdr:rowOff>
    </xdr:from>
    <xdr:to>
      <xdr:col>3</xdr:col>
      <xdr:colOff>1280300</xdr:colOff>
      <xdr:row>39</xdr:row>
      <xdr:rowOff>871007</xdr:rowOff>
    </xdr:to>
    <xdr:pic>
      <xdr:nvPicPr>
        <xdr:cNvPr id="24" name="Picture 23">
          <a:extLst>
            <a:ext uri="{FF2B5EF4-FFF2-40B4-BE49-F238E27FC236}">
              <a16:creationId xmlns:a16="http://schemas.microsoft.com/office/drawing/2014/main" id="{1E4CE3E8-3067-46FA-A47C-C183EEE6B749}"/>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710166" y="15561624"/>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234824</xdr:colOff>
      <xdr:row>40</xdr:row>
      <xdr:rowOff>148022</xdr:rowOff>
    </xdr:from>
    <xdr:to>
      <xdr:col>3</xdr:col>
      <xdr:colOff>1208279</xdr:colOff>
      <xdr:row>40</xdr:row>
      <xdr:rowOff>820215</xdr:rowOff>
    </xdr:to>
    <xdr:pic>
      <xdr:nvPicPr>
        <xdr:cNvPr id="25" name="Picture 24">
          <a:extLst>
            <a:ext uri="{FF2B5EF4-FFF2-40B4-BE49-F238E27FC236}">
              <a16:creationId xmlns:a16="http://schemas.microsoft.com/office/drawing/2014/main" id="{19E6A199-B8F1-43D9-A2F2-BBAFF8D5DB18}"/>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26715" y="16510240"/>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271798</xdr:colOff>
      <xdr:row>41</xdr:row>
      <xdr:rowOff>173955</xdr:rowOff>
    </xdr:from>
    <xdr:to>
      <xdr:col>3</xdr:col>
      <xdr:colOff>1237633</xdr:colOff>
      <xdr:row>41</xdr:row>
      <xdr:rowOff>853767</xdr:rowOff>
    </xdr:to>
    <xdr:pic>
      <xdr:nvPicPr>
        <xdr:cNvPr id="26" name="Picture 25">
          <a:extLst>
            <a:ext uri="{FF2B5EF4-FFF2-40B4-BE49-F238E27FC236}">
              <a16:creationId xmlns:a16="http://schemas.microsoft.com/office/drawing/2014/main" id="{BBF3FA8E-CC85-4DA0-BF3A-D70669A5D07B}"/>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63689" y="17547555"/>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280649</xdr:colOff>
      <xdr:row>42</xdr:row>
      <xdr:rowOff>194213</xdr:rowOff>
    </xdr:from>
    <xdr:to>
      <xdr:col>3</xdr:col>
      <xdr:colOff>1252199</xdr:colOff>
      <xdr:row>42</xdr:row>
      <xdr:rowOff>856881</xdr:rowOff>
    </xdr:to>
    <xdr:pic>
      <xdr:nvPicPr>
        <xdr:cNvPr id="27" name="Picture 26">
          <a:extLst>
            <a:ext uri="{FF2B5EF4-FFF2-40B4-BE49-F238E27FC236}">
              <a16:creationId xmlns:a16="http://schemas.microsoft.com/office/drawing/2014/main" id="{2480BBAB-69B9-426D-81BB-70BB2873124E}"/>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72540" y="18579195"/>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272373</xdr:colOff>
      <xdr:row>43</xdr:row>
      <xdr:rowOff>124242</xdr:rowOff>
    </xdr:from>
    <xdr:to>
      <xdr:col>3</xdr:col>
      <xdr:colOff>1251543</xdr:colOff>
      <xdr:row>43</xdr:row>
      <xdr:rowOff>856579</xdr:rowOff>
    </xdr:to>
    <xdr:pic>
      <xdr:nvPicPr>
        <xdr:cNvPr id="28" name="Picture 27">
          <a:extLst>
            <a:ext uri="{FF2B5EF4-FFF2-40B4-BE49-F238E27FC236}">
              <a16:creationId xmlns:a16="http://schemas.microsoft.com/office/drawing/2014/main" id="{05A33509-ABCD-4298-81B9-25E760F5D5D4}"/>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64264" y="19520606"/>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365164</xdr:colOff>
      <xdr:row>13</xdr:row>
      <xdr:rowOff>173182</xdr:rowOff>
    </xdr:from>
    <xdr:to>
      <xdr:col>18</xdr:col>
      <xdr:colOff>5935</xdr:colOff>
      <xdr:row>18</xdr:row>
      <xdr:rowOff>956953</xdr:rowOff>
    </xdr:to>
    <xdr:graphicFrame macro="">
      <xdr:nvGraphicFramePr>
        <xdr:cNvPr id="29" name="Chart 28">
          <a:extLst>
            <a:ext uri="{FF2B5EF4-FFF2-40B4-BE49-F238E27FC236}">
              <a16:creationId xmlns:a16="http://schemas.microsoft.com/office/drawing/2014/main" id="{8ECAF490-2DBE-4C6F-AD59-2E2BFCE3B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9747</xdr:colOff>
      <xdr:row>28</xdr:row>
      <xdr:rowOff>191141</xdr:rowOff>
    </xdr:from>
    <xdr:to>
      <xdr:col>18</xdr:col>
      <xdr:colOff>42404</xdr:colOff>
      <xdr:row>33</xdr:row>
      <xdr:rowOff>974912</xdr:rowOff>
    </xdr:to>
    <xdr:graphicFrame macro="">
      <xdr:nvGraphicFramePr>
        <xdr:cNvPr id="18" name="Chart 17">
          <a:extLst>
            <a:ext uri="{FF2B5EF4-FFF2-40B4-BE49-F238E27FC236}">
              <a16:creationId xmlns:a16="http://schemas.microsoft.com/office/drawing/2014/main" id="{3E2CBA8B-7426-423D-9CCE-B8895C10A9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GPC_Reporting_2.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Users/jirap/AppData/Roaming/Microsoft/Excel/NMA_GHG%20Emission%202561_final%20(version%202).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ADMINI~1/AppData/Local/Temp/Data_Calculato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hecreagycom.sharepoint.com/Users/ADMINI~1/AppData/Local/Temp/Data_Calculato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CCF_DataCalculator_rev8_ext1_&#3607;&#3617;.&#3611;&#3656;&#3634;&#3605;&#3629;&#359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CCF_DataCalculator_rev8_ext1_&#3607;&#3617;.&#3611;&#3656;&#3634;&#3605;&#3629;&#359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hecreagycom.sharepoint.com/Users/jiraporn/Desktop/CCF_DataCalculator_rev8_ext1_&#3607;&#3617;.&#3611;&#3656;&#3634;&#3605;&#3629;&#359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hecreagycom.sharepoint.com/Downloads/IPCC_Waste_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01%20Boonrod%20Yaowapruek/00%20The%20Creagy/00%20Scale%20Up%20Project/02%20Phuket/Data%20collection/CCF_DataCalculator_&#3592;&#3633;&#3591;&#3627;&#3623;&#3633;&#3604;&#3616;&#3641;&#3648;&#3585;&#3655;&#3605;%20v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thecreagycom.sharepoint.com/01%20Boonrod%20Yaowapruek/00%20The%20Creagy/00%20Scale%20Up%20Project/02%20Phuket/Data%20collection/CCF_DataCalculator_&#3592;&#3633;&#3591;&#3627;&#3623;&#3633;&#3604;&#3616;&#3641;&#3648;&#3585;&#3655;&#3605;%20v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PTT_Phuket/&#3586;&#3657;&#3629;&#3617;&#3641;&#3621;&#3585;&#3658;&#3634;&#3595;&#3648;&#3619;&#3639;&#3629;&#3609;&#3585;&#3619;&#3632;&#3592;&#3585;%20&#3616;&#3641;&#3648;&#3585;&#3655;&#3605;%2025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creagycom.sharepoint.com/Users/jiraporn/Desktop/GPC_Reporting_2.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Data_Phuket/&#3586;&#3657;&#3629;&#3617;&#3641;&#3621;&#3585;&#3658;&#3634;&#3595;&#3648;&#3619;&#3639;&#3629;&#3609;&#3585;&#3619;&#3632;&#3592;&#3585;%20&#3616;&#3641;&#3648;&#3585;&#3655;&#3605;%20255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thecreagycom.sharepoint.com/Users/jiraporn/Desktop/PTT_Phuket/&#3586;&#3657;&#3629;&#3617;&#3641;&#3621;&#3585;&#3658;&#3634;&#3595;&#3648;&#3619;&#3639;&#3629;&#3609;&#3585;&#3619;&#3632;&#3592;&#3585;%20&#3616;&#3641;&#3648;&#3585;&#3655;&#3605;%2025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F1EAD72\CCF_DataCalculator_rev8_ext1_&#3607;&#3617;.&#3611;&#3656;&#3634;&#3605;&#3629;&#359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hecreagycom.sharepoint.com/01%20Boonrod%20Yaowapruek/00%20The%20Creagy/00%20Scale%20Up%20Project/02%20Phuket/Data%20collection/CCF_DataCalculator_rev8_ext1_&#3607;&#3617;.&#3611;&#3656;&#3634;&#3605;&#3629;&#359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GPC_Reporting_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hecreagycom.sharepoint.com/Users/fayah/Desktop/32/12.1.2021/NMA_GHG%20Emission%202561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hecreagycom.sharepoint.com/Downloads/NMA_GHG%20Emission%202561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hecreagycom.sharepoint.com/Users/Praewpim/OneDrive/scale%20up4/data/GHG_Inventory%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hecreagycom.sharepoint.com/6b3f47e333eb4d44/01%20Creagy_Me/17_GHG_Scale%20Up%204/Report/04_Final%20Report/01_GHG%20Emissions_Chonburi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xml:space="preserve">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Business_Energy_Consumption"/>
      <sheetName val="Year_Original"/>
      <sheetName val="2555"/>
      <sheetName val="Conclusion"/>
      <sheetName val="Data_Calculator"/>
      <sheetName val="Annex.data validation"/>
      <sheetName val="EF_Stationary"/>
    </sheetNames>
    <sheetDataSet>
      <sheetData sheetId="0"/>
      <sheetData sheetId="1">
        <row r="5">
          <cell r="A5" t="str">
            <v>2.1.1.1</v>
          </cell>
          <cell r="B5" t="str">
            <v>การขายยานยนต์</v>
          </cell>
          <cell r="C5">
            <v>6824</v>
          </cell>
          <cell r="D5">
            <v>1190251.7</v>
          </cell>
          <cell r="E5">
            <v>174.42140973036342</v>
          </cell>
          <cell r="F5">
            <v>55.022526728821269</v>
          </cell>
          <cell r="G5">
            <v>1169710.5</v>
          </cell>
          <cell r="H5">
            <v>171.41126905041031</v>
          </cell>
          <cell r="I5">
            <v>115254.1</v>
          </cell>
        </row>
        <row r="6">
          <cell r="A6" t="str">
            <v>2.1.1.2</v>
          </cell>
          <cell r="B6" t="str">
            <v>การบำรุงรักษาและการซ่อมแซมยานยนต์</v>
          </cell>
          <cell r="C6">
            <v>62422</v>
          </cell>
          <cell r="D6">
            <v>1840354.1</v>
          </cell>
          <cell r="E6">
            <v>29.48245970971773</v>
          </cell>
          <cell r="F6">
            <v>9.3004604762516507</v>
          </cell>
          <cell r="G6">
            <v>1279916.3</v>
          </cell>
          <cell r="H6">
            <v>20.504250104129955</v>
          </cell>
          <cell r="I6">
            <v>347548.6</v>
          </cell>
        </row>
        <row r="7">
          <cell r="A7" t="str">
            <v>2.1.1.3</v>
          </cell>
          <cell r="B7" t="str">
            <v>การขายอะไหล่ยานยนต์และชิ้นส่วนอุปกรณ์ที่เกี่ยวข้อง</v>
          </cell>
          <cell r="C7">
            <v>13520</v>
          </cell>
          <cell r="D7">
            <v>446376.9</v>
          </cell>
          <cell r="E7">
            <v>33.016042899408284</v>
          </cell>
          <cell r="F7">
            <v>10.41515548877233</v>
          </cell>
          <cell r="G7">
            <v>502961</v>
          </cell>
          <cell r="H7">
            <v>37.201257396449705</v>
          </cell>
          <cell r="I7">
            <v>98242</v>
          </cell>
        </row>
        <row r="8">
          <cell r="A8" t="str">
            <v>2.1.1.4</v>
          </cell>
          <cell r="B8" t="str">
            <v>การขาย การบำรุงรักษา และการซ่อมแซมรถจักรยานยนต์ อะไหล่และชิ้นส่วนอุปกรณ์ที่เกี่ยวข้อง</v>
          </cell>
          <cell r="C8">
            <v>65029</v>
          </cell>
          <cell r="D8">
            <v>966736.6</v>
          </cell>
          <cell r="E8">
            <v>14.866238139906811</v>
          </cell>
          <cell r="F8">
            <v>4.6896650283617705</v>
          </cell>
          <cell r="G8">
            <v>1080883.8999999999</v>
          </cell>
          <cell r="H8">
            <v>16.621567300742743</v>
          </cell>
          <cell r="I8">
            <v>170109.4</v>
          </cell>
        </row>
        <row r="9">
          <cell r="A9" t="str">
            <v>2.1.1.5</v>
          </cell>
          <cell r="B9" t="str">
            <v>การขายปลีกน้ำมันเชื้อเพลิงรถยนต์ (ปั๊มน้ำมัน)</v>
          </cell>
          <cell r="C9">
            <v>30484</v>
          </cell>
          <cell r="D9">
            <v>1914897.2</v>
          </cell>
          <cell r="E9">
            <v>62.816467655163365</v>
          </cell>
          <cell r="F9">
            <v>19.815920395950588</v>
          </cell>
          <cell r="G9">
            <v>1616912.1</v>
          </cell>
          <cell r="H9">
            <v>53.04133643878756</v>
          </cell>
          <cell r="I9">
            <v>196070.2</v>
          </cell>
        </row>
        <row r="10">
          <cell r="A10" t="str">
            <v>2.1.1.6</v>
          </cell>
          <cell r="B10" t="str">
            <v>การขายส่งโดยได้รับค่าธรรมเนียมตอบแทนหรือโดยการทำสัญญาจ้าง</v>
          </cell>
          <cell r="C10">
            <v>1003</v>
          </cell>
          <cell r="D10">
            <v>126323.5</v>
          </cell>
          <cell r="E10">
            <v>125.9456630109671</v>
          </cell>
          <cell r="F10">
            <v>39.730493063396558</v>
          </cell>
          <cell r="G10">
            <v>162276.4</v>
          </cell>
          <cell r="H10">
            <v>161.79102691924226</v>
          </cell>
          <cell r="I10">
            <v>14610.5</v>
          </cell>
        </row>
        <row r="11">
          <cell r="A11" t="str">
            <v>2.1.1.7</v>
          </cell>
          <cell r="B11" t="str">
            <v>การขายส่งวัตถุดิบทางการเกษตร และสัตว์ที่มีชีวิต</v>
          </cell>
          <cell r="C11">
            <v>9805</v>
          </cell>
          <cell r="D11">
            <v>730258.7</v>
          </cell>
          <cell r="E11">
            <v>74.478194798572147</v>
          </cell>
          <cell r="F11">
            <v>23.494698674628438</v>
          </cell>
          <cell r="G11">
            <v>895005.1</v>
          </cell>
          <cell r="H11">
            <v>91.280479347271793</v>
          </cell>
          <cell r="I11">
            <v>242540</v>
          </cell>
        </row>
        <row r="12">
          <cell r="A12" t="str">
            <v>2.1.1.8</v>
          </cell>
          <cell r="B12" t="str">
            <v>การขายส่งอาหาร เครื่องดื่ม และยาสูบ</v>
          </cell>
          <cell r="C12">
            <v>16350</v>
          </cell>
          <cell r="D12">
            <v>1403035</v>
          </cell>
          <cell r="E12">
            <v>85.812538226299694</v>
          </cell>
          <cell r="F12">
            <v>27.070201333217568</v>
          </cell>
          <cell r="G12">
            <v>3099983.7</v>
          </cell>
          <cell r="H12">
            <v>189.60144954128441</v>
          </cell>
          <cell r="I12">
            <v>197162.7</v>
          </cell>
        </row>
        <row r="13">
          <cell r="A13" t="str">
            <v>2.1.1.9</v>
          </cell>
          <cell r="B13" t="str">
            <v>การขายส่งสินค้าสิ่งทอ เสื้อผ้า และรองเท้า</v>
          </cell>
          <cell r="C13">
            <v>6316</v>
          </cell>
          <cell r="D13">
            <v>737408.7</v>
          </cell>
          <cell r="E13">
            <v>116.75248575047497</v>
          </cell>
          <cell r="F13">
            <v>36.830437145260248</v>
          </cell>
          <cell r="G13">
            <v>373069.4</v>
          </cell>
          <cell r="H13">
            <v>59.067352754908171</v>
          </cell>
          <cell r="I13">
            <v>58428.3</v>
          </cell>
        </row>
        <row r="14">
          <cell r="A14" t="str">
            <v>2.1.1.10</v>
          </cell>
          <cell r="B14" t="str">
            <v>การขายส่งของใช้อื่นๆ ในครัวเรือน</v>
          </cell>
          <cell r="C14">
            <v>5708</v>
          </cell>
          <cell r="D14">
            <v>1840548.1</v>
          </cell>
          <cell r="E14">
            <v>322.45061317449193</v>
          </cell>
          <cell r="F14">
            <v>101.71943633264731</v>
          </cell>
          <cell r="G14">
            <v>755589.7</v>
          </cell>
          <cell r="H14">
            <v>132.3738086895585</v>
          </cell>
          <cell r="I14">
            <v>291504.2</v>
          </cell>
        </row>
        <row r="15">
          <cell r="A15" t="str">
            <v>2.1.1.11</v>
          </cell>
          <cell r="B15" t="str">
            <v>การขายส่งเชื้อเพลิงที่เป็นของแข็ง ของเหลว ก๊าซ และผลิตภัณฑ์ที่เกี่ยวข้อง</v>
          </cell>
          <cell r="C15">
            <v>1209</v>
          </cell>
          <cell r="D15">
            <v>94181.2</v>
          </cell>
          <cell r="E15">
            <v>77.900082712985935</v>
          </cell>
          <cell r="F15">
            <v>24.57415858453815</v>
          </cell>
          <cell r="G15">
            <v>372330.8</v>
          </cell>
          <cell r="H15">
            <v>307.96592224979321</v>
          </cell>
          <cell r="I15">
            <v>14373.5</v>
          </cell>
        </row>
        <row r="16">
          <cell r="A16" t="str">
            <v>2.1.1.12</v>
          </cell>
          <cell r="B16" t="str">
            <v>การขายส่งโลหะและแร่โลหะ</v>
          </cell>
          <cell r="C16">
            <v>956</v>
          </cell>
          <cell r="D16">
            <v>626248.6</v>
          </cell>
          <cell r="E16">
            <v>655.0717573221757</v>
          </cell>
          <cell r="F16">
            <v>206.64724205746867</v>
          </cell>
          <cell r="G16">
            <v>620282.5</v>
          </cell>
          <cell r="H16">
            <v>648.83106694560672</v>
          </cell>
          <cell r="I16">
            <v>38342.199999999997</v>
          </cell>
        </row>
        <row r="17">
          <cell r="A17" t="str">
            <v>2.1.1.13</v>
          </cell>
          <cell r="B17" t="str">
            <v>การขายส่งวัสดุก่อสร้าง เครื่องโลหะ อุปกรณ์ที่ใช้สำหรับการวางท่อและการทำความร้อน และเครื่องมือเครื่องใช้</v>
          </cell>
          <cell r="C17">
            <v>4300</v>
          </cell>
          <cell r="D17">
            <v>752830</v>
          </cell>
          <cell r="E17">
            <v>175.07674418604651</v>
          </cell>
          <cell r="F17">
            <v>55.229256841024139</v>
          </cell>
          <cell r="G17">
            <v>1017731.5</v>
          </cell>
          <cell r="H17">
            <v>236.6817441860465</v>
          </cell>
          <cell r="I17">
            <v>65804.800000000003</v>
          </cell>
        </row>
        <row r="18">
          <cell r="A18" t="str">
            <v>2.1.1.14</v>
          </cell>
          <cell r="B18" t="str">
            <v>การขายส่งสินค้าขั้นกลางอื่นๆ เศษและของที่ใช้ไม่ได้</v>
          </cell>
          <cell r="C18">
            <v>20766</v>
          </cell>
          <cell r="D18">
            <v>9357236.6999999993</v>
          </cell>
          <cell r="E18">
            <v>450.6037127997688</v>
          </cell>
          <cell r="F18">
            <v>142.14628164030563</v>
          </cell>
          <cell r="G18">
            <v>2317252.1</v>
          </cell>
          <cell r="H18">
            <v>111.5887556582876</v>
          </cell>
          <cell r="I18">
            <v>398777.2</v>
          </cell>
        </row>
        <row r="19">
          <cell r="A19" t="str">
            <v>2.1.1.15</v>
          </cell>
          <cell r="B19" t="str">
            <v>การขายส่งเครื่องจักร เครื่องอุปกรณ์ และเครื่องมือเครื่องใช้</v>
          </cell>
          <cell r="C19">
            <v>7470</v>
          </cell>
          <cell r="D19">
            <v>945665.6</v>
          </cell>
          <cell r="E19">
            <v>126.59512717536813</v>
          </cell>
          <cell r="F19">
            <v>39.93537134869657</v>
          </cell>
          <cell r="G19">
            <v>2343590.1</v>
          </cell>
          <cell r="H19">
            <v>313.73361445783132</v>
          </cell>
          <cell r="I19">
            <v>65169.599999999999</v>
          </cell>
        </row>
        <row r="20">
          <cell r="A20" t="str">
            <v>2.1.1.16</v>
          </cell>
          <cell r="B20" t="str">
            <v>การขายส่งสินค้าประเภทอื่นๆ</v>
          </cell>
          <cell r="C20">
            <v>1308</v>
          </cell>
          <cell r="D20">
            <v>168088.2</v>
          </cell>
          <cell r="E20">
            <v>128.50779816513761</v>
          </cell>
          <cell r="F20">
            <v>40.538737591526065</v>
          </cell>
          <cell r="G20">
            <v>102090</v>
          </cell>
          <cell r="H20">
            <v>78.050458715596335</v>
          </cell>
          <cell r="I20">
            <v>13537.4</v>
          </cell>
        </row>
        <row r="21">
          <cell r="A21" t="str">
            <v>2.1.1.17</v>
          </cell>
          <cell r="B21" t="str">
            <v>การขายปลีกอาหาร เครื่องดื่ม หรือยาสูบ เป็นสินค้าหลัก</v>
          </cell>
          <cell r="C21">
            <v>365654</v>
          </cell>
          <cell r="D21">
            <v>11803524.199999999</v>
          </cell>
          <cell r="E21">
            <v>32.280582736685496</v>
          </cell>
          <cell r="F21">
            <v>10.183149128291955</v>
          </cell>
          <cell r="G21">
            <v>4183567.1</v>
          </cell>
          <cell r="H21">
            <v>11.441327320362966</v>
          </cell>
          <cell r="I21">
            <v>1373681.5</v>
          </cell>
        </row>
        <row r="22">
          <cell r="A22" t="str">
            <v>2.1.1.18</v>
          </cell>
          <cell r="B22" t="str">
            <v>การขายปลีกสินค้าทั่วไปอื่นๆ</v>
          </cell>
          <cell r="C22">
            <v>141298</v>
          </cell>
          <cell r="D22">
            <v>3165084</v>
          </cell>
          <cell r="E22">
            <v>22.400062279720874</v>
          </cell>
          <cell r="F22">
            <v>7.0662657033819798</v>
          </cell>
          <cell r="G22">
            <v>1150746.8999999999</v>
          </cell>
          <cell r="H22">
            <v>8.1441131509292415</v>
          </cell>
          <cell r="I22">
            <v>307743.3</v>
          </cell>
        </row>
        <row r="23">
          <cell r="A23" t="str">
            <v>2.1.1.19</v>
          </cell>
          <cell r="B23" t="str">
            <v>การขายปลีกอาหาร เครื่องดื่มหรือยาสูบในร้านเฉพาะอย่างของสินค้านั้นๆ</v>
          </cell>
          <cell r="C23">
            <v>21654</v>
          </cell>
          <cell r="D23">
            <v>595877.4</v>
          </cell>
          <cell r="E23">
            <v>27.518121363258523</v>
          </cell>
          <cell r="F23">
            <v>8.6807953827313948</v>
          </cell>
          <cell r="G23">
            <v>253663.1</v>
          </cell>
          <cell r="H23">
            <v>11.71437609679505</v>
          </cell>
          <cell r="I23">
            <v>218927.1</v>
          </cell>
        </row>
        <row r="24">
          <cell r="A24" t="str">
            <v>2.1.1.20</v>
          </cell>
          <cell r="B24" t="str">
            <v>การขายปลีกสินค้าทางเภสัชกรรมและเวชภัณฑ์ เครื่องสำอางและเครื่องประทินร่างกายหรือประเทืองโฉม</v>
          </cell>
          <cell r="C24">
            <v>18892</v>
          </cell>
          <cell r="D24">
            <v>369557.2</v>
          </cell>
          <cell r="E24">
            <v>19.561571035358881</v>
          </cell>
          <cell r="F24">
            <v>6.1708425979050103</v>
          </cell>
          <cell r="G24">
            <v>268070.09999999998</v>
          </cell>
          <cell r="H24">
            <v>14.189609358458606</v>
          </cell>
          <cell r="I24">
            <v>47019.1</v>
          </cell>
        </row>
        <row r="25">
          <cell r="A25" t="str">
            <v>2.1.1.21</v>
          </cell>
          <cell r="B25" t="str">
            <v>การขายปลีกสินค้าสิ่งทอ เสื้อผ้า รองเท้า และเครื่องหนัง</v>
          </cell>
          <cell r="C25">
            <v>41557</v>
          </cell>
          <cell r="D25">
            <v>818130.5</v>
          </cell>
          <cell r="E25">
            <v>19.68694804726039</v>
          </cell>
          <cell r="F25">
            <v>6.2103937057603753</v>
          </cell>
          <cell r="G25">
            <v>258336.5</v>
          </cell>
          <cell r="H25">
            <v>6.216437663931468</v>
          </cell>
          <cell r="I25">
            <v>85484</v>
          </cell>
        </row>
        <row r="26">
          <cell r="A26" t="str">
            <v>2.1.1.22</v>
          </cell>
          <cell r="B26" t="str">
            <v>การขายปลีกเครื่องใช้ สิ่งของและอุปกรณ์ที่ใช้ในครัวเรือน</v>
          </cell>
          <cell r="C26">
            <v>26295</v>
          </cell>
          <cell r="D26">
            <v>632514.6</v>
          </cell>
          <cell r="E26">
            <v>24.054557900741585</v>
          </cell>
          <cell r="F26">
            <v>7.5881886122213205</v>
          </cell>
          <cell r="G26">
            <v>941462.6</v>
          </cell>
          <cell r="H26">
            <v>35.803863852443428</v>
          </cell>
          <cell r="I26">
            <v>112002.4</v>
          </cell>
        </row>
        <row r="27">
          <cell r="A27" t="str">
            <v>2.1.1.23</v>
          </cell>
          <cell r="B27" t="str">
            <v>การขายปลีกเครื่องโลหะ สีทาและกระจก</v>
          </cell>
          <cell r="C27">
            <v>25778</v>
          </cell>
          <cell r="D27">
            <v>976254.8</v>
          </cell>
          <cell r="E27">
            <v>37.871626968733032</v>
          </cell>
          <cell r="F27">
            <v>11.946885479095593</v>
          </cell>
          <cell r="G27">
            <v>2487742.4</v>
          </cell>
          <cell r="H27">
            <v>96.5064163239972</v>
          </cell>
          <cell r="I27">
            <v>150367.79999999999</v>
          </cell>
        </row>
        <row r="28">
          <cell r="A28" t="str">
            <v>2.1.1.24</v>
          </cell>
          <cell r="B28" t="str">
            <v>การขายปลีกสินค้าอื่นๆ ในร้านเฉพาะอย่างของสินค้านั้นๆ</v>
          </cell>
          <cell r="C28">
            <v>95872</v>
          </cell>
          <cell r="D28">
            <v>2284421.1</v>
          </cell>
          <cell r="E28">
            <v>23.827823556408546</v>
          </cell>
          <cell r="F28">
            <v>7.5166635824632637</v>
          </cell>
          <cell r="G28">
            <v>1666454.2</v>
          </cell>
          <cell r="H28">
            <v>17.382074015353805</v>
          </cell>
          <cell r="I28">
            <v>322898.59999999998</v>
          </cell>
        </row>
        <row r="29">
          <cell r="A29" t="str">
            <v>2.1.1.25</v>
          </cell>
          <cell r="B29" t="str">
            <v>การขายปลีกของที่ใช้แล้วในร้าน</v>
          </cell>
          <cell r="C29">
            <v>4641</v>
          </cell>
          <cell r="D29">
            <v>75753.600000000006</v>
          </cell>
          <cell r="E29">
            <v>16.322689075630255</v>
          </cell>
          <cell r="F29">
            <v>5.1491132730694806</v>
          </cell>
          <cell r="G29">
            <v>30713.5</v>
          </cell>
          <cell r="H29">
            <v>6.6178625296272351</v>
          </cell>
          <cell r="I29">
            <v>14009.4</v>
          </cell>
        </row>
        <row r="30">
          <cell r="A30" t="str">
            <v>2.1.1.26</v>
          </cell>
          <cell r="B30" t="str">
            <v>การขายปลีกโดยสถานประกอบการที่รับสั่งสินค้าทางไปรษณีย์</v>
          </cell>
          <cell r="C30">
            <v>41</v>
          </cell>
          <cell r="D30">
            <v>1137.5</v>
          </cell>
          <cell r="E30">
            <v>27.743902439024389</v>
          </cell>
          <cell r="F30">
            <v>8.7520196968531199</v>
          </cell>
          <cell r="G30">
            <v>875.1</v>
          </cell>
          <cell r="H30">
            <v>21.34390243902439</v>
          </cell>
          <cell r="I30">
            <v>205.9</v>
          </cell>
        </row>
        <row r="31">
          <cell r="A31" t="str">
            <v>2.1.1.27</v>
          </cell>
          <cell r="B31" t="str">
            <v>การขายปลีกสินค้าอื่นๆ โดยไม่มีร้าน</v>
          </cell>
          <cell r="C31">
            <v>710</v>
          </cell>
          <cell r="D31">
            <v>113092.9</v>
          </cell>
          <cell r="E31">
            <v>159.28577464788731</v>
          </cell>
          <cell r="F31">
            <v>50.247878437819338</v>
          </cell>
          <cell r="G31">
            <v>35545.800000000003</v>
          </cell>
          <cell r="H31">
            <v>50.064507042253524</v>
          </cell>
          <cell r="I31">
            <v>23326.400000000001</v>
          </cell>
        </row>
        <row r="32">
          <cell r="A32" t="str">
            <v>2.1.1.28</v>
          </cell>
          <cell r="B32" t="str">
            <v>การซ่อมแซมของใช้ส่วนบุคคล และของใช้ในครัวเรือน</v>
          </cell>
          <cell r="C32">
            <v>30309</v>
          </cell>
          <cell r="D32">
            <v>285037.3</v>
          </cell>
          <cell r="E32">
            <v>9.4043782374872151</v>
          </cell>
          <cell r="F32">
            <v>2.9666808320148945</v>
          </cell>
          <cell r="G32">
            <v>258191.4</v>
          </cell>
          <cell r="H32">
            <v>8.5186380283084233</v>
          </cell>
          <cell r="I32">
            <v>56209.3</v>
          </cell>
        </row>
        <row r="33">
          <cell r="A33" t="str">
            <v>2.1.1.29</v>
          </cell>
          <cell r="B33" t="str">
            <v>โรงแรม ค่ายพัก และที่พักชั่วคราว</v>
          </cell>
          <cell r="C33">
            <v>25934</v>
          </cell>
          <cell r="D33">
            <v>11811740.4</v>
          </cell>
          <cell r="E33">
            <v>455.45385979794867</v>
          </cell>
          <cell r="F33">
            <v>143.67629646622987</v>
          </cell>
          <cell r="G33">
            <v>1279322.7</v>
          </cell>
          <cell r="H33">
            <v>49.329941389681494</v>
          </cell>
          <cell r="I33">
            <v>1824256.1</v>
          </cell>
        </row>
        <row r="34">
          <cell r="A34" t="str">
            <v>2.1.1.30</v>
          </cell>
          <cell r="B34" t="str">
            <v>ภัตตาคาร บาร์ และโรงอาหาร</v>
          </cell>
          <cell r="C34">
            <v>233120</v>
          </cell>
          <cell r="D34">
            <v>5429239.7000000002</v>
          </cell>
          <cell r="E34">
            <v>23.289463366506521</v>
          </cell>
          <cell r="F34">
            <v>7.3468338695604167</v>
          </cell>
          <cell r="G34">
            <v>2602446.7999999998</v>
          </cell>
          <cell r="H34">
            <v>11.16355010295127</v>
          </cell>
          <cell r="I34">
            <v>1345186.8</v>
          </cell>
        </row>
        <row r="35">
          <cell r="A35" t="str">
            <v>2.1.1.31</v>
          </cell>
          <cell r="B35" t="str">
            <v>กิจกรรมด้านอสังหาริมทรัพย์ที่เป็นของตนเองหรือเช่าจากผู้อื่น</v>
          </cell>
          <cell r="C35">
            <v>68360</v>
          </cell>
          <cell r="D35">
            <v>11473814.800000001</v>
          </cell>
          <cell r="E35">
            <v>167.84398478642481</v>
          </cell>
          <cell r="F35">
            <v>52.947629270165557</v>
          </cell>
          <cell r="G35">
            <v>1389756.6</v>
          </cell>
          <cell r="H35">
            <v>20.329967817437097</v>
          </cell>
          <cell r="I35">
            <v>2336825.4</v>
          </cell>
        </row>
        <row r="36">
          <cell r="A36" t="str">
            <v>2.1.1.32</v>
          </cell>
          <cell r="B36" t="str">
            <v>กิจกรรมด้านอสังหาริมทรัพย์โดยได้รับค่าธรรมเนียมตอบแทน หรือโดยการทำสัญญา</v>
          </cell>
          <cell r="C36">
            <v>1967</v>
          </cell>
          <cell r="D36">
            <v>1777154.2</v>
          </cell>
          <cell r="E36">
            <v>903.48459583121507</v>
          </cell>
          <cell r="F36">
            <v>285.01091351142429</v>
          </cell>
          <cell r="G36">
            <v>51810.6</v>
          </cell>
          <cell r="H36">
            <v>26.339908490086426</v>
          </cell>
          <cell r="I36">
            <v>194843.7</v>
          </cell>
        </row>
        <row r="37">
          <cell r="A37" t="str">
            <v>2.1.1.33</v>
          </cell>
          <cell r="B37" t="str">
            <v>การให้เช่าเครื่องอุปกรณ์การขนส่งทางบก</v>
          </cell>
          <cell r="C37">
            <v>1131</v>
          </cell>
          <cell r="D37">
            <v>40964.6</v>
          </cell>
          <cell r="E37">
            <v>36.219805481874445</v>
          </cell>
          <cell r="F37">
            <v>11.425806145701719</v>
          </cell>
          <cell r="G37">
            <v>128149.9</v>
          </cell>
          <cell r="H37">
            <v>113.30671971706454</v>
          </cell>
          <cell r="I37">
            <v>9808</v>
          </cell>
        </row>
        <row r="38">
          <cell r="A38" t="str">
            <v>2.1.1.34</v>
          </cell>
          <cell r="B38" t="str">
            <v>การให้เช่าเครื่องอุปกรณ์การขนส่งทางน้ำ</v>
          </cell>
          <cell r="C38">
            <v>25</v>
          </cell>
          <cell r="D38">
            <v>5522.7</v>
          </cell>
          <cell r="E38">
            <v>220.90799999999999</v>
          </cell>
          <cell r="F38">
            <v>69.687066246056773</v>
          </cell>
          <cell r="G38">
            <v>3372.5</v>
          </cell>
          <cell r="H38">
            <v>134.9</v>
          </cell>
          <cell r="I38">
            <v>3061.9</v>
          </cell>
        </row>
        <row r="39">
          <cell r="A39" t="str">
            <v>2.1.1.35</v>
          </cell>
          <cell r="B39" t="str">
            <v>การให้เช่าเครื่องจักรและเครื่องอุปกรณ์ทางการเกษตร</v>
          </cell>
          <cell r="C39">
            <v>185</v>
          </cell>
          <cell r="D39">
            <v>1082.5</v>
          </cell>
          <cell r="E39">
            <v>5.8513513513513518</v>
          </cell>
          <cell r="F39">
            <v>1.8458521613095746</v>
          </cell>
          <cell r="G39">
            <v>34508.5</v>
          </cell>
          <cell r="H39">
            <v>186.53243243243244</v>
          </cell>
          <cell r="I39">
            <v>334</v>
          </cell>
        </row>
        <row r="40">
          <cell r="A40" t="str">
            <v>2.1.1.36</v>
          </cell>
          <cell r="B40" t="str">
            <v>การให้เช่าเครื่องจักรและเครื่องอุปกรณ์ที่ใช้ในงานก่อสร้าง และงานวิศวกรรมโยธา</v>
          </cell>
          <cell r="C40">
            <v>241</v>
          </cell>
          <cell r="D40">
            <v>13924.7</v>
          </cell>
          <cell r="E40">
            <v>57.778838174273865</v>
          </cell>
          <cell r="F40">
            <v>18.226762831001221</v>
          </cell>
          <cell r="G40">
            <v>191961.5</v>
          </cell>
          <cell r="H40">
            <v>796.52074688796677</v>
          </cell>
          <cell r="I40">
            <v>3599.8</v>
          </cell>
        </row>
        <row r="41">
          <cell r="A41" t="str">
            <v>2.1.1.37</v>
          </cell>
          <cell r="B41" t="str">
            <v>การให้เช่าเครื่องจักรและเครื่องอุปกรณ์ที่ใช้ในสำนักงาน (รวมทั้งเครื่องคอมพิวเตอร์)</v>
          </cell>
          <cell r="C41">
            <v>117</v>
          </cell>
          <cell r="D41">
            <v>6051.9</v>
          </cell>
          <cell r="E41">
            <v>51.725641025641025</v>
          </cell>
          <cell r="F41">
            <v>16.317236916606003</v>
          </cell>
          <cell r="G41">
            <v>3403</v>
          </cell>
          <cell r="H41">
            <v>29.085470085470085</v>
          </cell>
          <cell r="I41">
            <v>962.6</v>
          </cell>
        </row>
        <row r="42">
          <cell r="A42" t="str">
            <v>2.1.1.38</v>
          </cell>
          <cell r="B42" t="str">
            <v>การให้เช่าเครื่องจักรและเครื่องอุปกรณ์อื่นๆ ซึ่งมิได้จัดประเภทไว้ในที่อื่น</v>
          </cell>
          <cell r="C42">
            <v>8008</v>
          </cell>
          <cell r="D42">
            <v>44475.6</v>
          </cell>
          <cell r="E42">
            <v>5.5538961038961041</v>
          </cell>
          <cell r="F42">
            <v>1.7520176983899383</v>
          </cell>
          <cell r="G42">
            <v>192368.9</v>
          </cell>
          <cell r="H42">
            <v>24.022090409590408</v>
          </cell>
          <cell r="I42">
            <v>9616.1</v>
          </cell>
        </row>
        <row r="43">
          <cell r="A43" t="str">
            <v>2.1.1.39</v>
          </cell>
          <cell r="B43" t="str">
            <v>การให้เช่าของใช้ส่วนบุคคลและของใช้ในครัวเรือน ซึ่งมิได้จัดประเภทไว้ในที่อื่น</v>
          </cell>
          <cell r="C43">
            <v>10789</v>
          </cell>
          <cell r="D43">
            <v>241103.9</v>
          </cell>
          <cell r="E43">
            <v>22.347196218370563</v>
          </cell>
          <cell r="F43">
            <v>7.0495887124197356</v>
          </cell>
          <cell r="G43">
            <v>68202</v>
          </cell>
          <cell r="H43">
            <v>6.3214385021781441</v>
          </cell>
          <cell r="I43">
            <v>29968.7</v>
          </cell>
        </row>
        <row r="44">
          <cell r="A44" t="str">
            <v>2.1.1.40</v>
          </cell>
          <cell r="B44" t="str">
            <v>การให้คำปรึกษาเกี่ยวกับฮาร์ดแวร์</v>
          </cell>
          <cell r="C44">
            <v>343</v>
          </cell>
          <cell r="D44">
            <v>74481.399999999994</v>
          </cell>
          <cell r="E44">
            <v>217.14693877551019</v>
          </cell>
          <cell r="F44">
            <v>68.500611601107323</v>
          </cell>
          <cell r="G44">
            <v>37657.800000000003</v>
          </cell>
          <cell r="H44">
            <v>109.78950437317785</v>
          </cell>
          <cell r="I44">
            <v>10965.8</v>
          </cell>
        </row>
        <row r="45">
          <cell r="A45" t="str">
            <v>2.1.1.41</v>
          </cell>
          <cell r="B45" t="str">
            <v>การให้คำปรึกษาเกี่ยวกับซอฟต์แวร์ และการจัดหา</v>
          </cell>
          <cell r="C45">
            <v>559</v>
          </cell>
          <cell r="D45">
            <v>68287.7</v>
          </cell>
          <cell r="E45">
            <v>122.16046511627907</v>
          </cell>
          <cell r="F45">
            <v>38.536424326901916</v>
          </cell>
          <cell r="G45">
            <v>58941.4</v>
          </cell>
          <cell r="H45">
            <v>105.44078711985689</v>
          </cell>
          <cell r="I45">
            <v>9726.1</v>
          </cell>
        </row>
        <row r="46">
          <cell r="A46" t="str">
            <v>2.1.1.42</v>
          </cell>
          <cell r="B46" t="str">
            <v>การประมวลผลข้อมูล</v>
          </cell>
          <cell r="C46">
            <v>261</v>
          </cell>
          <cell r="D46">
            <v>21333.5</v>
          </cell>
          <cell r="E46">
            <v>81.737547892720301</v>
          </cell>
          <cell r="F46">
            <v>25.784715423571072</v>
          </cell>
          <cell r="G46">
            <v>1123.8</v>
          </cell>
          <cell r="H46">
            <v>4.3057471264367813</v>
          </cell>
          <cell r="I46">
            <v>2309.1</v>
          </cell>
        </row>
        <row r="47">
          <cell r="A47" t="str">
            <v>2.1.1.43</v>
          </cell>
          <cell r="B47" t="str">
            <v>กิจกรรมด้านฐานข้อมูล</v>
          </cell>
          <cell r="C47">
            <v>146</v>
          </cell>
          <cell r="D47">
            <v>38684</v>
          </cell>
          <cell r="E47">
            <v>264.95890410958901</v>
          </cell>
          <cell r="F47">
            <v>83.583250507756787</v>
          </cell>
          <cell r="G47">
            <v>612</v>
          </cell>
          <cell r="H47">
            <v>4.1917808219178081</v>
          </cell>
          <cell r="I47">
            <v>1392.7</v>
          </cell>
        </row>
        <row r="48">
          <cell r="A48" t="str">
            <v>2.1.1.44</v>
          </cell>
          <cell r="B48" t="str">
            <v>การบำรุงรักษาและการซ่อมแซมเครื่องจักรสำนักงาน เครื่องทำบัญชี และเครื่องคำนวณ</v>
          </cell>
          <cell r="C48">
            <v>3121</v>
          </cell>
          <cell r="D48">
            <v>114807.1</v>
          </cell>
          <cell r="E48">
            <v>36.785357257289334</v>
          </cell>
          <cell r="F48">
            <v>11.604213645832598</v>
          </cell>
          <cell r="G48">
            <v>79419.3</v>
          </cell>
          <cell r="H48">
            <v>25.446747837231658</v>
          </cell>
          <cell r="I48">
            <v>9218.5</v>
          </cell>
        </row>
        <row r="49">
          <cell r="A49" t="str">
            <v>2.1.1.45</v>
          </cell>
          <cell r="B49" t="str">
            <v>กิจกรรมอื่นๆ ที่เกี่ยวข้องกับคอมพิวเตอร์</v>
          </cell>
          <cell r="C49">
            <v>55</v>
          </cell>
          <cell r="D49">
            <v>6511.1</v>
          </cell>
          <cell r="E49">
            <v>118.38363636363637</v>
          </cell>
          <cell r="F49">
            <v>37.344995698308004</v>
          </cell>
          <cell r="G49">
            <v>875.7</v>
          </cell>
          <cell r="H49">
            <v>15.921818181818182</v>
          </cell>
          <cell r="I49">
            <v>3161.6</v>
          </cell>
        </row>
        <row r="50">
          <cell r="A50" t="str">
            <v>2.1.1.46</v>
          </cell>
          <cell r="B50" t="str">
            <v>การวิจัยและการพัฒนาการทดลองด้านวิทยาศาสตร์ธรรมชาติ และวิศวกรรม</v>
          </cell>
          <cell r="C50">
            <v>23</v>
          </cell>
          <cell r="D50">
            <v>9468</v>
          </cell>
          <cell r="E50">
            <v>411.6521739130435</v>
          </cell>
          <cell r="F50">
            <v>129.8587299410232</v>
          </cell>
          <cell r="G50">
            <v>10107.5</v>
          </cell>
          <cell r="H50">
            <v>439.45652173913044</v>
          </cell>
          <cell r="I50">
            <v>1085.8</v>
          </cell>
        </row>
        <row r="51">
          <cell r="A51" t="str">
            <v>2.1.1.47</v>
          </cell>
          <cell r="B51" t="str">
            <v>การวิจัยและการพัฒนาการทดลองทางด้านสังคมศาสตร์ และมนุษยศาสตร์</v>
          </cell>
          <cell r="C51">
            <v>12</v>
          </cell>
          <cell r="D51">
            <v>478.4</v>
          </cell>
          <cell r="E51">
            <v>39.866666666666667</v>
          </cell>
          <cell r="F51">
            <v>12.576235541535226</v>
          </cell>
          <cell r="G51">
            <v>1175.5</v>
          </cell>
          <cell r="H51">
            <v>97.958333333333329</v>
          </cell>
          <cell r="I51">
            <v>136.80000000000001</v>
          </cell>
        </row>
        <row r="52">
          <cell r="A52" t="str">
            <v>2.1.1.48</v>
          </cell>
          <cell r="B52" t="str">
            <v>กิจกรรมด้านกฎหมาย</v>
          </cell>
          <cell r="C52">
            <v>5239</v>
          </cell>
          <cell r="D52">
            <v>172083.7</v>
          </cell>
          <cell r="E52">
            <v>32.846669211681622</v>
          </cell>
          <cell r="F52">
            <v>10.361725303369598</v>
          </cell>
          <cell r="G52">
            <v>132642.1</v>
          </cell>
          <cell r="H52">
            <v>25.318209581981296</v>
          </cell>
          <cell r="I52">
            <v>27716.400000000001</v>
          </cell>
        </row>
        <row r="53">
          <cell r="A53" t="str">
            <v>2.1.1.49</v>
          </cell>
          <cell r="B53" t="str">
            <v>กิจกรรมการบัญชี การทำบัญชี และการตรวจสอบบัญชี การให้คำปรึกษาด้านภาษี</v>
          </cell>
          <cell r="C53">
            <v>2023</v>
          </cell>
          <cell r="D53">
            <v>149308</v>
          </cell>
          <cell r="E53">
            <v>73.805239742956005</v>
          </cell>
          <cell r="F53">
            <v>23.282410013550791</v>
          </cell>
          <cell r="G53">
            <v>150799.6</v>
          </cell>
          <cell r="H53">
            <v>74.542560553633223</v>
          </cell>
          <cell r="I53">
            <v>11575</v>
          </cell>
        </row>
        <row r="54">
          <cell r="A54" t="str">
            <v>2.1.1.50</v>
          </cell>
          <cell r="B54" t="str">
            <v>การวิจัยตลาดและการสำรวจความคิดเห็นของประชาชน</v>
          </cell>
          <cell r="C54">
            <v>63</v>
          </cell>
          <cell r="D54">
            <v>8908.1</v>
          </cell>
          <cell r="E54">
            <v>141.3984126984127</v>
          </cell>
          <cell r="F54">
            <v>44.605177507385712</v>
          </cell>
          <cell r="G54">
            <v>3047.6</v>
          </cell>
          <cell r="H54">
            <v>48.374603174603173</v>
          </cell>
          <cell r="I54">
            <v>1247.2</v>
          </cell>
        </row>
        <row r="55">
          <cell r="A55" t="str">
            <v>2.1.1.51</v>
          </cell>
          <cell r="B55" t="str">
            <v>กิจกรรมการให้คำปรึกษาทางธุรกิจและการจัดการ</v>
          </cell>
          <cell r="C55">
            <v>546</v>
          </cell>
          <cell r="D55">
            <v>58759.1</v>
          </cell>
          <cell r="E55">
            <v>107.61739926739926</v>
          </cell>
          <cell r="F55">
            <v>33.948706393501347</v>
          </cell>
          <cell r="G55">
            <v>98888.9</v>
          </cell>
          <cell r="H55">
            <v>181.11520146520147</v>
          </cell>
          <cell r="I55">
            <v>12945.7</v>
          </cell>
        </row>
        <row r="56">
          <cell r="A56" t="str">
            <v>2.1.1.52</v>
          </cell>
          <cell r="B56" t="str">
            <v>กิจกรรมด้านสถาปัตยกรรมและวิศวกรรม และการให้คำปรึกษาด้านเทคนิคที่เกี่ยวข้อง</v>
          </cell>
          <cell r="C56">
            <v>1212</v>
          </cell>
          <cell r="D56">
            <v>135548.6</v>
          </cell>
          <cell r="E56">
            <v>111.83877887788779</v>
          </cell>
          <cell r="F56">
            <v>35.280371885769021</v>
          </cell>
          <cell r="G56">
            <v>192193.4</v>
          </cell>
          <cell r="H56">
            <v>158.57541254125411</v>
          </cell>
          <cell r="I56">
            <v>31638.9</v>
          </cell>
        </row>
        <row r="57">
          <cell r="A57" t="str">
            <v>2.1.1.53</v>
          </cell>
          <cell r="B57" t="str">
            <v>การทดสอบและการวิเคราะห์ทางเทคนิค</v>
          </cell>
          <cell r="C57">
            <v>139</v>
          </cell>
          <cell r="D57">
            <v>39714.199999999997</v>
          </cell>
          <cell r="E57">
            <v>285.71366906474816</v>
          </cell>
          <cell r="F57">
            <v>90.130494973106678</v>
          </cell>
          <cell r="G57">
            <v>72384.600000000006</v>
          </cell>
          <cell r="H57">
            <v>520.75251798561158</v>
          </cell>
          <cell r="I57">
            <v>3285.4</v>
          </cell>
        </row>
        <row r="58">
          <cell r="A58" t="str">
            <v>2.1.1.54</v>
          </cell>
          <cell r="B58" t="str">
            <v>การโฆษณา</v>
          </cell>
          <cell r="C58">
            <v>5966</v>
          </cell>
          <cell r="D58">
            <v>233563.1</v>
          </cell>
          <cell r="E58">
            <v>39.149027824337914</v>
          </cell>
          <cell r="F58">
            <v>12.349851048687039</v>
          </cell>
          <cell r="G58">
            <v>177780.3</v>
          </cell>
          <cell r="H58">
            <v>29.798910492792491</v>
          </cell>
          <cell r="I58">
            <v>44268.3</v>
          </cell>
        </row>
        <row r="59">
          <cell r="A59" t="str">
            <v>2.1.1.55</v>
          </cell>
          <cell r="B59" t="str">
            <v>การจัดหาแรงงานและการสรรหาบุคลากร</v>
          </cell>
          <cell r="C59">
            <v>758</v>
          </cell>
          <cell r="D59">
            <v>46674.1</v>
          </cell>
          <cell r="E59">
            <v>61.575329815303427</v>
          </cell>
          <cell r="F59">
            <v>19.424394263502659</v>
          </cell>
          <cell r="G59">
            <v>39195.699999999997</v>
          </cell>
          <cell r="H59">
            <v>51.709366754617413</v>
          </cell>
          <cell r="I59">
            <v>9722.4</v>
          </cell>
        </row>
        <row r="60">
          <cell r="A60" t="str">
            <v>2.1.1.56</v>
          </cell>
          <cell r="B60" t="str">
            <v>กิจกรรมด้านการสืบสวนและการรักษาความปลอดภัย</v>
          </cell>
          <cell r="C60">
            <v>828</v>
          </cell>
          <cell r="D60">
            <v>60525.9</v>
          </cell>
          <cell r="E60">
            <v>73.098913043478262</v>
          </cell>
          <cell r="F60">
            <v>23.05959402002469</v>
          </cell>
          <cell r="G60">
            <v>100875.3</v>
          </cell>
          <cell r="H60">
            <v>121.83007246376812</v>
          </cell>
          <cell r="I60">
            <v>13131.6</v>
          </cell>
        </row>
        <row r="61">
          <cell r="A61" t="str">
            <v>2.1.1.57</v>
          </cell>
          <cell r="B61" t="str">
            <v>กิจกรรมการทำความสะอาดอาคาร</v>
          </cell>
          <cell r="C61">
            <v>533</v>
          </cell>
          <cell r="D61">
            <v>49527.5</v>
          </cell>
          <cell r="E61">
            <v>92.922138836772987</v>
          </cell>
          <cell r="F61">
            <v>29.312977551032489</v>
          </cell>
          <cell r="G61">
            <v>341423.8</v>
          </cell>
          <cell r="H61">
            <v>640.56998123827395</v>
          </cell>
          <cell r="I61">
            <v>41574.199999999997</v>
          </cell>
        </row>
        <row r="62">
          <cell r="A62" t="str">
            <v>2.1.1.58</v>
          </cell>
          <cell r="B62" t="str">
            <v>กิจกรรมการถ่ายภาพ</v>
          </cell>
          <cell r="C62">
            <v>7036</v>
          </cell>
          <cell r="D62">
            <v>171977.7</v>
          </cell>
          <cell r="E62">
            <v>24.442538374076182</v>
          </cell>
          <cell r="F62">
            <v>7.7105799287306569</v>
          </cell>
          <cell r="G62">
            <v>83599.100000000006</v>
          </cell>
          <cell r="H62">
            <v>11.881623081296192</v>
          </cell>
          <cell r="I62">
            <v>26612.6</v>
          </cell>
        </row>
        <row r="63">
          <cell r="A63" t="str">
            <v>2.1.1.59</v>
          </cell>
          <cell r="B63" t="str">
            <v>กิจกรรมการบรรจุหีบห่อ</v>
          </cell>
          <cell r="C63">
            <v>441</v>
          </cell>
          <cell r="D63">
            <v>186287.9</v>
          </cell>
          <cell r="E63">
            <v>422.42154195011335</v>
          </cell>
          <cell r="F63">
            <v>133.25600692432599</v>
          </cell>
          <cell r="G63">
            <v>71963.199999999997</v>
          </cell>
          <cell r="H63">
            <v>163.18185941043083</v>
          </cell>
          <cell r="I63">
            <v>15577.9</v>
          </cell>
        </row>
        <row r="64">
          <cell r="A64" t="str">
            <v>2.1.1.60</v>
          </cell>
          <cell r="B64" t="str">
            <v>กิจกรรมธุรกิจอื่นๆ ซึ่งมิได้จัดประเภทไว้ในที่อื่น</v>
          </cell>
          <cell r="C64">
            <v>15778</v>
          </cell>
          <cell r="D64">
            <v>529826</v>
          </cell>
          <cell r="E64">
            <v>33.580048168335658</v>
          </cell>
          <cell r="F64">
            <v>10.593075131967085</v>
          </cell>
          <cell r="G64">
            <v>323983.90000000002</v>
          </cell>
          <cell r="H64">
            <v>20.53390163518824</v>
          </cell>
          <cell r="I64">
            <v>119553.8</v>
          </cell>
        </row>
        <row r="65">
          <cell r="A65" t="str">
            <v>2.1.1.61</v>
          </cell>
          <cell r="B65" t="str">
            <v>การผลิตและการจำหน่ายภาพยนตร์และวีดีโอ</v>
          </cell>
          <cell r="C65">
            <v>379</v>
          </cell>
          <cell r="D65">
            <v>25871.200000000001</v>
          </cell>
          <cell r="E65">
            <v>68.261741424802111</v>
          </cell>
          <cell r="F65">
            <v>21.533672373754609</v>
          </cell>
          <cell r="G65">
            <v>22360.400000000001</v>
          </cell>
          <cell r="H65">
            <v>58.998416886543538</v>
          </cell>
          <cell r="I65">
            <v>3595.1</v>
          </cell>
        </row>
        <row r="66">
          <cell r="A66" t="str">
            <v>2.1.1.62</v>
          </cell>
          <cell r="B66" t="str">
            <v>การฉายภาพยนตร์</v>
          </cell>
          <cell r="C66">
            <v>638</v>
          </cell>
          <cell r="D66">
            <v>624318</v>
          </cell>
          <cell r="E66">
            <v>978.55485893416926</v>
          </cell>
          <cell r="F66">
            <v>308.69238452181997</v>
          </cell>
          <cell r="G66">
            <v>14731.6</v>
          </cell>
          <cell r="H66">
            <v>23.090282131661443</v>
          </cell>
          <cell r="I66">
            <v>46094.7</v>
          </cell>
        </row>
        <row r="67">
          <cell r="A67" t="str">
            <v>2.1.1.63</v>
          </cell>
          <cell r="B67" t="str">
            <v>กิจกรรมด้านวิทยุและโทรทัศน์</v>
          </cell>
          <cell r="C67">
            <v>837</v>
          </cell>
          <cell r="D67">
            <v>451056.4</v>
          </cell>
          <cell r="E67">
            <v>538.89653524492235</v>
          </cell>
          <cell r="F67">
            <v>169.99890701732568</v>
          </cell>
          <cell r="G67">
            <v>264688.8</v>
          </cell>
          <cell r="H67">
            <v>316.23512544802867</v>
          </cell>
          <cell r="I67">
            <v>13124.1</v>
          </cell>
        </row>
        <row r="68">
          <cell r="A68" t="str">
            <v>2.1.1.64</v>
          </cell>
          <cell r="B68" t="str">
            <v>กิจกรรมด้านศิลปการละคร ดนตรี และศิลปะอื่นๆ</v>
          </cell>
          <cell r="C68">
            <v>5955</v>
          </cell>
          <cell r="D68">
            <v>44219.3</v>
          </cell>
          <cell r="E68">
            <v>7.4255751469353486</v>
          </cell>
          <cell r="F68">
            <v>2.3424527277398575</v>
          </cell>
          <cell r="G68">
            <v>144099.9</v>
          </cell>
          <cell r="H68">
            <v>24.198136020151132</v>
          </cell>
          <cell r="I68">
            <v>8801</v>
          </cell>
        </row>
        <row r="69">
          <cell r="A69" t="str">
            <v>2.1.1.65</v>
          </cell>
          <cell r="B69" t="str">
            <v>กิจกรรมด้านความบันเทิงอื่นๆ ซึ่งมิได้จัดประเภทไว้ในที่อื่น</v>
          </cell>
          <cell r="C69">
            <v>172</v>
          </cell>
          <cell r="D69">
            <v>63151.4</v>
          </cell>
          <cell r="E69">
            <v>367.15930232558139</v>
          </cell>
          <cell r="F69">
            <v>115.82312376201305</v>
          </cell>
          <cell r="G69">
            <v>14184.1</v>
          </cell>
          <cell r="H69">
            <v>82.465697674418607</v>
          </cell>
          <cell r="I69">
            <v>5308.4</v>
          </cell>
        </row>
        <row r="70">
          <cell r="A70" t="str">
            <v>2.1.1.66</v>
          </cell>
          <cell r="B70" t="str">
            <v>กิจกรรมของสำนักข่าว</v>
          </cell>
          <cell r="C70">
            <v>107</v>
          </cell>
          <cell r="D70">
            <v>8093.4</v>
          </cell>
          <cell r="E70">
            <v>75.639252336448592</v>
          </cell>
          <cell r="F70">
            <v>23.86096288216044</v>
          </cell>
          <cell r="G70">
            <v>5622.9</v>
          </cell>
          <cell r="H70">
            <v>52.55046728971962</v>
          </cell>
          <cell r="I70">
            <v>1079.7</v>
          </cell>
        </row>
        <row r="71">
          <cell r="A71" t="str">
            <v>2.1.1.67</v>
          </cell>
          <cell r="B71" t="str">
            <v>กิจกรรมการกีฬา</v>
          </cell>
          <cell r="C71">
            <v>4056</v>
          </cell>
          <cell r="D71">
            <v>1322678.5</v>
          </cell>
          <cell r="E71">
            <v>326.10416666666669</v>
          </cell>
          <cell r="F71">
            <v>102.87197686645636</v>
          </cell>
          <cell r="G71">
            <v>190238.9</v>
          </cell>
          <cell r="H71">
            <v>46.903081854043393</v>
          </cell>
          <cell r="I71">
            <v>364269.4</v>
          </cell>
        </row>
        <row r="72">
          <cell r="A72" t="str">
            <v>2.1.1.68</v>
          </cell>
          <cell r="B72" t="str">
            <v>กิจกรรมนันทนาการอื่นๆ</v>
          </cell>
          <cell r="C72">
            <v>15616</v>
          </cell>
          <cell r="D72">
            <v>677877.7</v>
          </cell>
          <cell r="E72">
            <v>43.409176485655735</v>
          </cell>
          <cell r="F72">
            <v>13.69374652544345</v>
          </cell>
          <cell r="G72">
            <v>60193.599999999999</v>
          </cell>
          <cell r="H72">
            <v>3.8546106557377047</v>
          </cell>
          <cell r="I72">
            <v>53613.8</v>
          </cell>
        </row>
        <row r="73">
          <cell r="A73" t="str">
            <v>2.1.1.69</v>
          </cell>
          <cell r="B73" t="str">
            <v>การบริการซักรีด และการซักแห้ง ผลิตภัณฑ์สิ่งทอและขนสัตว์</v>
          </cell>
          <cell r="C73">
            <v>27830</v>
          </cell>
          <cell r="D73">
            <v>455330.6</v>
          </cell>
          <cell r="E73">
            <v>16.361142651814589</v>
          </cell>
          <cell r="F73">
            <v>5.1612437387427725</v>
          </cell>
          <cell r="G73">
            <v>101888.7</v>
          </cell>
          <cell r="H73">
            <v>3.6611103126122888</v>
          </cell>
          <cell r="I73">
            <v>199024.9</v>
          </cell>
        </row>
        <row r="74">
          <cell r="A74" t="str">
            <v>2.1.1.70</v>
          </cell>
          <cell r="B74" t="str">
            <v>การแต่งผมและการเสริมสวยอื่นๆ</v>
          </cell>
          <cell r="C74">
            <v>116088</v>
          </cell>
          <cell r="D74">
            <v>1651696</v>
          </cell>
          <cell r="E74">
            <v>14.227964992074977</v>
          </cell>
          <cell r="F74">
            <v>4.4883170322003085</v>
          </cell>
          <cell r="G74">
            <v>179356.6</v>
          </cell>
          <cell r="H74">
            <v>1.5450055130590588</v>
          </cell>
          <cell r="I74">
            <v>454621.5</v>
          </cell>
        </row>
        <row r="75">
          <cell r="A75" t="str">
            <v>2.1.1.71</v>
          </cell>
          <cell r="B75" t="str">
            <v>การทำศพและกิจกรรมที่เกี่ยวข้อง</v>
          </cell>
          <cell r="C75">
            <v>362</v>
          </cell>
          <cell r="D75">
            <v>2380.9</v>
          </cell>
          <cell r="E75">
            <v>6.5770718232044203</v>
          </cell>
          <cell r="F75">
            <v>2.0747860641023408</v>
          </cell>
          <cell r="G75">
            <v>2005.8</v>
          </cell>
          <cell r="H75">
            <v>5.5408839779005525</v>
          </cell>
          <cell r="I75">
            <v>771</v>
          </cell>
        </row>
        <row r="76">
          <cell r="A76" t="str">
            <v>2.1.1.72</v>
          </cell>
          <cell r="B76" t="str">
            <v>กิจกรรมการบริการอื่นๆ ซึ่งมิได้จัดประเภทไว้ในที่อื่น</v>
          </cell>
          <cell r="C76">
            <v>13248</v>
          </cell>
          <cell r="D76">
            <v>648650.9</v>
          </cell>
          <cell r="E76">
            <v>48.962175422705315</v>
          </cell>
          <cell r="F76">
            <v>15.44548120590073</v>
          </cell>
          <cell r="G76">
            <v>132615.79999999999</v>
          </cell>
          <cell r="H76">
            <v>10.010250603864733</v>
          </cell>
          <cell r="I76">
            <v>126228</v>
          </cell>
        </row>
      </sheetData>
      <sheetData sheetId="2"/>
      <sheetData sheetId="3"/>
      <sheetData sheetId="4"/>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Business_Energy_Consumption"/>
      <sheetName val="Year_Original"/>
      <sheetName val="2555"/>
      <sheetName val="Conclusion"/>
      <sheetName val="Data_Calculator"/>
      <sheetName val="Annex.data validation"/>
    </sheetNames>
    <sheetDataSet>
      <sheetData sheetId="0"/>
      <sheetData sheetId="1">
        <row r="5">
          <cell r="A5" t="str">
            <v>2.1.1.1</v>
          </cell>
          <cell r="B5" t="str">
            <v>การขายยานยนต์</v>
          </cell>
          <cell r="C5">
            <v>6824</v>
          </cell>
          <cell r="D5">
            <v>1190251.7</v>
          </cell>
          <cell r="E5">
            <v>174.42140973036342</v>
          </cell>
          <cell r="F5">
            <v>55.022526728821269</v>
          </cell>
          <cell r="G5">
            <v>1169710.5</v>
          </cell>
          <cell r="H5">
            <v>171.41126905041031</v>
          </cell>
          <cell r="I5">
            <v>115254.1</v>
          </cell>
        </row>
        <row r="6">
          <cell r="A6" t="str">
            <v>2.1.1.2</v>
          </cell>
          <cell r="B6" t="str">
            <v>การบำรุงรักษาและการซ่อมแซมยานยนต์</v>
          </cell>
          <cell r="C6">
            <v>62422</v>
          </cell>
          <cell r="D6">
            <v>1840354.1</v>
          </cell>
          <cell r="E6">
            <v>29.48245970971773</v>
          </cell>
          <cell r="F6">
            <v>9.3004604762516507</v>
          </cell>
          <cell r="G6">
            <v>1279916.3</v>
          </cell>
          <cell r="H6">
            <v>20.504250104129955</v>
          </cell>
          <cell r="I6">
            <v>347548.6</v>
          </cell>
        </row>
        <row r="7">
          <cell r="A7" t="str">
            <v>2.1.1.3</v>
          </cell>
          <cell r="B7" t="str">
            <v>การขายอะไหล่ยานยนต์และชิ้นส่วนอุปกรณ์ที่เกี่ยวข้อง</v>
          </cell>
          <cell r="C7">
            <v>13520</v>
          </cell>
          <cell r="D7">
            <v>446376.9</v>
          </cell>
          <cell r="E7">
            <v>33.016042899408284</v>
          </cell>
          <cell r="F7">
            <v>10.41515548877233</v>
          </cell>
          <cell r="G7">
            <v>502961</v>
          </cell>
          <cell r="H7">
            <v>37.201257396449705</v>
          </cell>
          <cell r="I7">
            <v>98242</v>
          </cell>
        </row>
        <row r="8">
          <cell r="A8" t="str">
            <v>2.1.1.4</v>
          </cell>
          <cell r="B8" t="str">
            <v>การขาย การบำรุงรักษา และการซ่อมแซมรถจักรยานยนต์ อะไหล่และชิ้นส่วนอุปกรณ์ที่เกี่ยวข้อง</v>
          </cell>
          <cell r="C8">
            <v>65029</v>
          </cell>
          <cell r="D8">
            <v>966736.6</v>
          </cell>
          <cell r="E8">
            <v>14.866238139906811</v>
          </cell>
          <cell r="F8">
            <v>4.6896650283617705</v>
          </cell>
          <cell r="G8">
            <v>1080883.8999999999</v>
          </cell>
          <cell r="H8">
            <v>16.621567300742743</v>
          </cell>
          <cell r="I8">
            <v>170109.4</v>
          </cell>
        </row>
        <row r="9">
          <cell r="A9" t="str">
            <v>2.1.1.5</v>
          </cell>
          <cell r="B9" t="str">
            <v>การขายปลีกน้ำมันเชื้อเพลิงรถยนต์ (ปั๊มน้ำมัน)</v>
          </cell>
          <cell r="C9">
            <v>30484</v>
          </cell>
          <cell r="D9">
            <v>1914897.2</v>
          </cell>
          <cell r="E9">
            <v>62.816467655163365</v>
          </cell>
          <cell r="F9">
            <v>19.815920395950588</v>
          </cell>
          <cell r="G9">
            <v>1616912.1</v>
          </cell>
          <cell r="H9">
            <v>53.04133643878756</v>
          </cell>
          <cell r="I9">
            <v>196070.2</v>
          </cell>
        </row>
        <row r="10">
          <cell r="A10" t="str">
            <v>2.1.1.6</v>
          </cell>
          <cell r="B10" t="str">
            <v>การขายส่งโดยได้รับค่าธรรมเนียมตอบแทนหรือโดยการทำสัญญาจ้าง</v>
          </cell>
          <cell r="C10">
            <v>1003</v>
          </cell>
          <cell r="D10">
            <v>126323.5</v>
          </cell>
          <cell r="E10">
            <v>125.9456630109671</v>
          </cell>
          <cell r="F10">
            <v>39.730493063396558</v>
          </cell>
          <cell r="G10">
            <v>162276.4</v>
          </cell>
          <cell r="H10">
            <v>161.79102691924226</v>
          </cell>
          <cell r="I10">
            <v>14610.5</v>
          </cell>
        </row>
        <row r="11">
          <cell r="A11" t="str">
            <v>2.1.1.7</v>
          </cell>
          <cell r="B11" t="str">
            <v>การขายส่งวัตถุดิบทางการเกษตร และสัตว์ที่มีชีวิต</v>
          </cell>
          <cell r="C11">
            <v>9805</v>
          </cell>
          <cell r="D11">
            <v>730258.7</v>
          </cell>
          <cell r="E11">
            <v>74.478194798572147</v>
          </cell>
          <cell r="F11">
            <v>23.494698674628438</v>
          </cell>
          <cell r="G11">
            <v>895005.1</v>
          </cell>
          <cell r="H11">
            <v>91.280479347271793</v>
          </cell>
          <cell r="I11">
            <v>242540</v>
          </cell>
        </row>
        <row r="12">
          <cell r="A12" t="str">
            <v>2.1.1.8</v>
          </cell>
          <cell r="B12" t="str">
            <v>การขายส่งอาหาร เครื่องดื่ม และยาสูบ</v>
          </cell>
          <cell r="C12">
            <v>16350</v>
          </cell>
          <cell r="D12">
            <v>1403035</v>
          </cell>
          <cell r="E12">
            <v>85.812538226299694</v>
          </cell>
          <cell r="F12">
            <v>27.070201333217568</v>
          </cell>
          <cell r="G12">
            <v>3099983.7</v>
          </cell>
          <cell r="H12">
            <v>189.60144954128441</v>
          </cell>
          <cell r="I12">
            <v>197162.7</v>
          </cell>
        </row>
        <row r="13">
          <cell r="A13" t="str">
            <v>2.1.1.9</v>
          </cell>
          <cell r="B13" t="str">
            <v>การขายส่งสินค้าสิ่งทอ เสื้อผ้า และรองเท้า</v>
          </cell>
          <cell r="C13">
            <v>6316</v>
          </cell>
          <cell r="D13">
            <v>737408.7</v>
          </cell>
          <cell r="E13">
            <v>116.75248575047497</v>
          </cell>
          <cell r="F13">
            <v>36.830437145260248</v>
          </cell>
          <cell r="G13">
            <v>373069.4</v>
          </cell>
          <cell r="H13">
            <v>59.067352754908171</v>
          </cell>
          <cell r="I13">
            <v>58428.3</v>
          </cell>
        </row>
        <row r="14">
          <cell r="A14" t="str">
            <v>2.1.1.10</v>
          </cell>
          <cell r="B14" t="str">
            <v>การขายส่งของใช้อื่นๆ ในครัวเรือน</v>
          </cell>
          <cell r="C14">
            <v>5708</v>
          </cell>
          <cell r="D14">
            <v>1840548.1</v>
          </cell>
          <cell r="E14">
            <v>322.45061317449193</v>
          </cell>
          <cell r="F14">
            <v>101.71943633264731</v>
          </cell>
          <cell r="G14">
            <v>755589.7</v>
          </cell>
          <cell r="H14">
            <v>132.3738086895585</v>
          </cell>
          <cell r="I14">
            <v>291504.2</v>
          </cell>
        </row>
        <row r="15">
          <cell r="A15" t="str">
            <v>2.1.1.11</v>
          </cell>
          <cell r="B15" t="str">
            <v>การขายส่งเชื้อเพลิงที่เป็นของแข็ง ของเหลว ก๊าซ และผลิตภัณฑ์ที่เกี่ยวข้อง</v>
          </cell>
          <cell r="C15">
            <v>1209</v>
          </cell>
          <cell r="D15">
            <v>94181.2</v>
          </cell>
          <cell r="E15">
            <v>77.900082712985935</v>
          </cell>
          <cell r="F15">
            <v>24.57415858453815</v>
          </cell>
          <cell r="G15">
            <v>372330.8</v>
          </cell>
          <cell r="H15">
            <v>307.96592224979321</v>
          </cell>
          <cell r="I15">
            <v>14373.5</v>
          </cell>
        </row>
        <row r="16">
          <cell r="A16" t="str">
            <v>2.1.1.12</v>
          </cell>
          <cell r="B16" t="str">
            <v>การขายส่งโลหะและแร่โลหะ</v>
          </cell>
          <cell r="C16">
            <v>956</v>
          </cell>
          <cell r="D16">
            <v>626248.6</v>
          </cell>
          <cell r="E16">
            <v>655.0717573221757</v>
          </cell>
          <cell r="F16">
            <v>206.64724205746867</v>
          </cell>
          <cell r="G16">
            <v>620282.5</v>
          </cell>
          <cell r="H16">
            <v>648.83106694560672</v>
          </cell>
          <cell r="I16">
            <v>38342.199999999997</v>
          </cell>
        </row>
        <row r="17">
          <cell r="A17" t="str">
            <v>2.1.1.13</v>
          </cell>
          <cell r="B17" t="str">
            <v>การขายส่งวัสดุก่อสร้าง เครื่องโลหะ อุปกรณ์ที่ใช้สำหรับการวางท่อและการทำความร้อน และเครื่องมือเครื่องใช้</v>
          </cell>
          <cell r="C17">
            <v>4300</v>
          </cell>
          <cell r="D17">
            <v>752830</v>
          </cell>
          <cell r="E17">
            <v>175.07674418604651</v>
          </cell>
          <cell r="F17">
            <v>55.229256841024139</v>
          </cell>
          <cell r="G17">
            <v>1017731.5</v>
          </cell>
          <cell r="H17">
            <v>236.6817441860465</v>
          </cell>
          <cell r="I17">
            <v>65804.800000000003</v>
          </cell>
        </row>
        <row r="18">
          <cell r="A18" t="str">
            <v>2.1.1.14</v>
          </cell>
          <cell r="B18" t="str">
            <v>การขายส่งสินค้าขั้นกลางอื่นๆ เศษและของที่ใช้ไม่ได้</v>
          </cell>
          <cell r="C18">
            <v>20766</v>
          </cell>
          <cell r="D18">
            <v>9357236.6999999993</v>
          </cell>
          <cell r="E18">
            <v>450.6037127997688</v>
          </cell>
          <cell r="F18">
            <v>142.14628164030563</v>
          </cell>
          <cell r="G18">
            <v>2317252.1</v>
          </cell>
          <cell r="H18">
            <v>111.5887556582876</v>
          </cell>
          <cell r="I18">
            <v>398777.2</v>
          </cell>
        </row>
        <row r="19">
          <cell r="A19" t="str">
            <v>2.1.1.15</v>
          </cell>
          <cell r="B19" t="str">
            <v>การขายส่งเครื่องจักร เครื่องอุปกรณ์ และเครื่องมือเครื่องใช้</v>
          </cell>
          <cell r="C19">
            <v>7470</v>
          </cell>
          <cell r="D19">
            <v>945665.6</v>
          </cell>
          <cell r="E19">
            <v>126.59512717536813</v>
          </cell>
          <cell r="F19">
            <v>39.93537134869657</v>
          </cell>
          <cell r="G19">
            <v>2343590.1</v>
          </cell>
          <cell r="H19">
            <v>313.73361445783132</v>
          </cell>
          <cell r="I19">
            <v>65169.599999999999</v>
          </cell>
        </row>
        <row r="20">
          <cell r="A20" t="str">
            <v>2.1.1.16</v>
          </cell>
          <cell r="B20" t="str">
            <v>การขายส่งสินค้าประเภทอื่นๆ</v>
          </cell>
          <cell r="C20">
            <v>1308</v>
          </cell>
          <cell r="D20">
            <v>168088.2</v>
          </cell>
          <cell r="E20">
            <v>128.50779816513761</v>
          </cell>
          <cell r="F20">
            <v>40.538737591526065</v>
          </cell>
          <cell r="G20">
            <v>102090</v>
          </cell>
          <cell r="H20">
            <v>78.050458715596335</v>
          </cell>
          <cell r="I20">
            <v>13537.4</v>
          </cell>
        </row>
        <row r="21">
          <cell r="A21" t="str">
            <v>2.1.1.17</v>
          </cell>
          <cell r="B21" t="str">
            <v>การขายปลีกอาหาร เครื่องดื่ม หรือยาสูบ เป็นสินค้าหลัก</v>
          </cell>
          <cell r="C21">
            <v>365654</v>
          </cell>
          <cell r="D21">
            <v>11803524.199999999</v>
          </cell>
          <cell r="E21">
            <v>32.280582736685496</v>
          </cell>
          <cell r="F21">
            <v>10.183149128291955</v>
          </cell>
          <cell r="G21">
            <v>4183567.1</v>
          </cell>
          <cell r="H21">
            <v>11.441327320362966</v>
          </cell>
          <cell r="I21">
            <v>1373681.5</v>
          </cell>
        </row>
        <row r="22">
          <cell r="A22" t="str">
            <v>2.1.1.18</v>
          </cell>
          <cell r="B22" t="str">
            <v>การขายปลีกสินค้าทั่วไปอื่นๆ</v>
          </cell>
          <cell r="C22">
            <v>141298</v>
          </cell>
          <cell r="D22">
            <v>3165084</v>
          </cell>
          <cell r="E22">
            <v>22.400062279720874</v>
          </cell>
          <cell r="F22">
            <v>7.0662657033819798</v>
          </cell>
          <cell r="G22">
            <v>1150746.8999999999</v>
          </cell>
          <cell r="H22">
            <v>8.1441131509292415</v>
          </cell>
          <cell r="I22">
            <v>307743.3</v>
          </cell>
        </row>
        <row r="23">
          <cell r="A23" t="str">
            <v>2.1.1.19</v>
          </cell>
          <cell r="B23" t="str">
            <v>การขายปลีกอาหาร เครื่องดื่มหรือยาสูบในร้านเฉพาะอย่างของสินค้านั้นๆ</v>
          </cell>
          <cell r="C23">
            <v>21654</v>
          </cell>
          <cell r="D23">
            <v>595877.4</v>
          </cell>
          <cell r="E23">
            <v>27.518121363258523</v>
          </cell>
          <cell r="F23">
            <v>8.6807953827313948</v>
          </cell>
          <cell r="G23">
            <v>253663.1</v>
          </cell>
          <cell r="H23">
            <v>11.71437609679505</v>
          </cell>
          <cell r="I23">
            <v>218927.1</v>
          </cell>
        </row>
        <row r="24">
          <cell r="A24" t="str">
            <v>2.1.1.20</v>
          </cell>
          <cell r="B24" t="str">
            <v>การขายปลีกสินค้าทางเภสัชกรรมและเวชภัณฑ์ เครื่องสำอางและเครื่องประทินร่างกายหรือประเทืองโฉม</v>
          </cell>
          <cell r="C24">
            <v>18892</v>
          </cell>
          <cell r="D24">
            <v>369557.2</v>
          </cell>
          <cell r="E24">
            <v>19.561571035358881</v>
          </cell>
          <cell r="F24">
            <v>6.1708425979050103</v>
          </cell>
          <cell r="G24">
            <v>268070.09999999998</v>
          </cell>
          <cell r="H24">
            <v>14.189609358458606</v>
          </cell>
          <cell r="I24">
            <v>47019.1</v>
          </cell>
        </row>
        <row r="25">
          <cell r="A25" t="str">
            <v>2.1.1.21</v>
          </cell>
          <cell r="B25" t="str">
            <v>การขายปลีกสินค้าสิ่งทอ เสื้อผ้า รองเท้า และเครื่องหนัง</v>
          </cell>
          <cell r="C25">
            <v>41557</v>
          </cell>
          <cell r="D25">
            <v>818130.5</v>
          </cell>
          <cell r="E25">
            <v>19.68694804726039</v>
          </cell>
          <cell r="F25">
            <v>6.2103937057603753</v>
          </cell>
          <cell r="G25">
            <v>258336.5</v>
          </cell>
          <cell r="H25">
            <v>6.216437663931468</v>
          </cell>
          <cell r="I25">
            <v>85484</v>
          </cell>
        </row>
        <row r="26">
          <cell r="A26" t="str">
            <v>2.1.1.22</v>
          </cell>
          <cell r="B26" t="str">
            <v>การขายปลีกเครื่องใช้ สิ่งของและอุปกรณ์ที่ใช้ในครัวเรือน</v>
          </cell>
          <cell r="C26">
            <v>26295</v>
          </cell>
          <cell r="D26">
            <v>632514.6</v>
          </cell>
          <cell r="E26">
            <v>24.054557900741585</v>
          </cell>
          <cell r="F26">
            <v>7.5881886122213205</v>
          </cell>
          <cell r="G26">
            <v>941462.6</v>
          </cell>
          <cell r="H26">
            <v>35.803863852443428</v>
          </cell>
          <cell r="I26">
            <v>112002.4</v>
          </cell>
        </row>
        <row r="27">
          <cell r="A27" t="str">
            <v>2.1.1.23</v>
          </cell>
          <cell r="B27" t="str">
            <v>การขายปลีกเครื่องโลหะ สีทาและกระจก</v>
          </cell>
          <cell r="C27">
            <v>25778</v>
          </cell>
          <cell r="D27">
            <v>976254.8</v>
          </cell>
          <cell r="E27">
            <v>37.871626968733032</v>
          </cell>
          <cell r="F27">
            <v>11.946885479095593</v>
          </cell>
          <cell r="G27">
            <v>2487742.4</v>
          </cell>
          <cell r="H27">
            <v>96.5064163239972</v>
          </cell>
          <cell r="I27">
            <v>150367.79999999999</v>
          </cell>
        </row>
        <row r="28">
          <cell r="A28" t="str">
            <v>2.1.1.24</v>
          </cell>
          <cell r="B28" t="str">
            <v>การขายปลีกสินค้าอื่นๆ ในร้านเฉพาะอย่างของสินค้านั้นๆ</v>
          </cell>
          <cell r="C28">
            <v>95872</v>
          </cell>
          <cell r="D28">
            <v>2284421.1</v>
          </cell>
          <cell r="E28">
            <v>23.827823556408546</v>
          </cell>
          <cell r="F28">
            <v>7.5166635824632637</v>
          </cell>
          <cell r="G28">
            <v>1666454.2</v>
          </cell>
          <cell r="H28">
            <v>17.382074015353805</v>
          </cell>
          <cell r="I28">
            <v>322898.59999999998</v>
          </cell>
        </row>
        <row r="29">
          <cell r="A29" t="str">
            <v>2.1.1.25</v>
          </cell>
          <cell r="B29" t="str">
            <v>การขายปลีกของที่ใช้แล้วในร้าน</v>
          </cell>
          <cell r="C29">
            <v>4641</v>
          </cell>
          <cell r="D29">
            <v>75753.600000000006</v>
          </cell>
          <cell r="E29">
            <v>16.322689075630255</v>
          </cell>
          <cell r="F29">
            <v>5.1491132730694806</v>
          </cell>
          <cell r="G29">
            <v>30713.5</v>
          </cell>
          <cell r="H29">
            <v>6.6178625296272351</v>
          </cell>
          <cell r="I29">
            <v>14009.4</v>
          </cell>
        </row>
        <row r="30">
          <cell r="A30" t="str">
            <v>2.1.1.26</v>
          </cell>
          <cell r="B30" t="str">
            <v>การขายปลีกโดยสถานประกอบการที่รับสั่งสินค้าทางไปรษณีย์</v>
          </cell>
          <cell r="C30">
            <v>41</v>
          </cell>
          <cell r="D30">
            <v>1137.5</v>
          </cell>
          <cell r="E30">
            <v>27.743902439024389</v>
          </cell>
          <cell r="F30">
            <v>8.7520196968531199</v>
          </cell>
          <cell r="G30">
            <v>875.1</v>
          </cell>
          <cell r="H30">
            <v>21.34390243902439</v>
          </cell>
          <cell r="I30">
            <v>205.9</v>
          </cell>
        </row>
        <row r="31">
          <cell r="A31" t="str">
            <v>2.1.1.27</v>
          </cell>
          <cell r="B31" t="str">
            <v>การขายปลีกสินค้าอื่นๆ โดยไม่มีร้าน</v>
          </cell>
          <cell r="C31">
            <v>710</v>
          </cell>
          <cell r="D31">
            <v>113092.9</v>
          </cell>
          <cell r="E31">
            <v>159.28577464788731</v>
          </cell>
          <cell r="F31">
            <v>50.247878437819338</v>
          </cell>
          <cell r="G31">
            <v>35545.800000000003</v>
          </cell>
          <cell r="H31">
            <v>50.064507042253524</v>
          </cell>
          <cell r="I31">
            <v>23326.400000000001</v>
          </cell>
        </row>
        <row r="32">
          <cell r="A32" t="str">
            <v>2.1.1.28</v>
          </cell>
          <cell r="B32" t="str">
            <v>การซ่อมแซมของใช้ส่วนบุคคล และของใช้ในครัวเรือน</v>
          </cell>
          <cell r="C32">
            <v>30309</v>
          </cell>
          <cell r="D32">
            <v>285037.3</v>
          </cell>
          <cell r="E32">
            <v>9.4043782374872151</v>
          </cell>
          <cell r="F32">
            <v>2.9666808320148945</v>
          </cell>
          <cell r="G32">
            <v>258191.4</v>
          </cell>
          <cell r="H32">
            <v>8.5186380283084233</v>
          </cell>
          <cell r="I32">
            <v>56209.3</v>
          </cell>
        </row>
        <row r="33">
          <cell r="A33" t="str">
            <v>2.1.1.29</v>
          </cell>
          <cell r="B33" t="str">
            <v>โรงแรม ค่ายพัก และที่พักชั่วคราว</v>
          </cell>
          <cell r="C33">
            <v>25934</v>
          </cell>
          <cell r="D33">
            <v>11811740.4</v>
          </cell>
          <cell r="E33">
            <v>455.45385979794867</v>
          </cell>
          <cell r="F33">
            <v>143.67629646622987</v>
          </cell>
          <cell r="G33">
            <v>1279322.7</v>
          </cell>
          <cell r="H33">
            <v>49.329941389681494</v>
          </cell>
          <cell r="I33">
            <v>1824256.1</v>
          </cell>
        </row>
        <row r="34">
          <cell r="A34" t="str">
            <v>2.1.1.30</v>
          </cell>
          <cell r="B34" t="str">
            <v>ภัตตาคาร บาร์ และโรงอาหาร</v>
          </cell>
          <cell r="C34">
            <v>233120</v>
          </cell>
          <cell r="D34">
            <v>5429239.7000000002</v>
          </cell>
          <cell r="E34">
            <v>23.289463366506521</v>
          </cell>
          <cell r="F34">
            <v>7.3468338695604167</v>
          </cell>
          <cell r="G34">
            <v>2602446.7999999998</v>
          </cell>
          <cell r="H34">
            <v>11.16355010295127</v>
          </cell>
          <cell r="I34">
            <v>1345186.8</v>
          </cell>
        </row>
        <row r="35">
          <cell r="A35" t="str">
            <v>2.1.1.31</v>
          </cell>
          <cell r="B35" t="str">
            <v>กิจกรรมด้านอสังหาริมทรัพย์ที่เป็นของตนเองหรือเช่าจากผู้อื่น</v>
          </cell>
          <cell r="C35">
            <v>68360</v>
          </cell>
          <cell r="D35">
            <v>11473814.800000001</v>
          </cell>
          <cell r="E35">
            <v>167.84398478642481</v>
          </cell>
          <cell r="F35">
            <v>52.947629270165557</v>
          </cell>
          <cell r="G35">
            <v>1389756.6</v>
          </cell>
          <cell r="H35">
            <v>20.329967817437097</v>
          </cell>
          <cell r="I35">
            <v>2336825.4</v>
          </cell>
        </row>
        <row r="36">
          <cell r="A36" t="str">
            <v>2.1.1.32</v>
          </cell>
          <cell r="B36" t="str">
            <v>กิจกรรมด้านอสังหาริมทรัพย์โดยได้รับค่าธรรมเนียมตอบแทน หรือโดยการทำสัญญา</v>
          </cell>
          <cell r="C36">
            <v>1967</v>
          </cell>
          <cell r="D36">
            <v>1777154.2</v>
          </cell>
          <cell r="E36">
            <v>903.48459583121507</v>
          </cell>
          <cell r="F36">
            <v>285.01091351142429</v>
          </cell>
          <cell r="G36">
            <v>51810.6</v>
          </cell>
          <cell r="H36">
            <v>26.339908490086426</v>
          </cell>
          <cell r="I36">
            <v>194843.7</v>
          </cell>
        </row>
        <row r="37">
          <cell r="A37" t="str">
            <v>2.1.1.33</v>
          </cell>
          <cell r="B37" t="str">
            <v>การให้เช่าเครื่องอุปกรณ์การขนส่งทางบก</v>
          </cell>
          <cell r="C37">
            <v>1131</v>
          </cell>
          <cell r="D37">
            <v>40964.6</v>
          </cell>
          <cell r="E37">
            <v>36.219805481874445</v>
          </cell>
          <cell r="F37">
            <v>11.425806145701719</v>
          </cell>
          <cell r="G37">
            <v>128149.9</v>
          </cell>
          <cell r="H37">
            <v>113.30671971706454</v>
          </cell>
          <cell r="I37">
            <v>9808</v>
          </cell>
        </row>
        <row r="38">
          <cell r="A38" t="str">
            <v>2.1.1.34</v>
          </cell>
          <cell r="B38" t="str">
            <v>การให้เช่าเครื่องอุปกรณ์การขนส่งทางน้ำ</v>
          </cell>
          <cell r="C38">
            <v>25</v>
          </cell>
          <cell r="D38">
            <v>5522.7</v>
          </cell>
          <cell r="E38">
            <v>220.90799999999999</v>
          </cell>
          <cell r="F38">
            <v>69.687066246056773</v>
          </cell>
          <cell r="G38">
            <v>3372.5</v>
          </cell>
          <cell r="H38">
            <v>134.9</v>
          </cell>
          <cell r="I38">
            <v>3061.9</v>
          </cell>
        </row>
        <row r="39">
          <cell r="A39" t="str">
            <v>2.1.1.35</v>
          </cell>
          <cell r="B39" t="str">
            <v>การให้เช่าเครื่องจักรและเครื่องอุปกรณ์ทางการเกษตร</v>
          </cell>
          <cell r="C39">
            <v>185</v>
          </cell>
          <cell r="D39">
            <v>1082.5</v>
          </cell>
          <cell r="E39">
            <v>5.8513513513513518</v>
          </cell>
          <cell r="F39">
            <v>1.8458521613095746</v>
          </cell>
          <cell r="G39">
            <v>34508.5</v>
          </cell>
          <cell r="H39">
            <v>186.53243243243244</v>
          </cell>
          <cell r="I39">
            <v>334</v>
          </cell>
        </row>
        <row r="40">
          <cell r="A40" t="str">
            <v>2.1.1.36</v>
          </cell>
          <cell r="B40" t="str">
            <v>การให้เช่าเครื่องจักรและเครื่องอุปกรณ์ที่ใช้ในงานก่อสร้าง และงานวิศวกรรมโยธา</v>
          </cell>
          <cell r="C40">
            <v>241</v>
          </cell>
          <cell r="D40">
            <v>13924.7</v>
          </cell>
          <cell r="E40">
            <v>57.778838174273865</v>
          </cell>
          <cell r="F40">
            <v>18.226762831001221</v>
          </cell>
          <cell r="G40">
            <v>191961.5</v>
          </cell>
          <cell r="H40">
            <v>796.52074688796677</v>
          </cell>
          <cell r="I40">
            <v>3599.8</v>
          </cell>
        </row>
        <row r="41">
          <cell r="A41" t="str">
            <v>2.1.1.37</v>
          </cell>
          <cell r="B41" t="str">
            <v>การให้เช่าเครื่องจักรและเครื่องอุปกรณ์ที่ใช้ในสำนักงาน (รวมทั้งเครื่องคอมพิวเตอร์)</v>
          </cell>
          <cell r="C41">
            <v>117</v>
          </cell>
          <cell r="D41">
            <v>6051.9</v>
          </cell>
          <cell r="E41">
            <v>51.725641025641025</v>
          </cell>
          <cell r="F41">
            <v>16.317236916606003</v>
          </cell>
          <cell r="G41">
            <v>3403</v>
          </cell>
          <cell r="H41">
            <v>29.085470085470085</v>
          </cell>
          <cell r="I41">
            <v>962.6</v>
          </cell>
        </row>
        <row r="42">
          <cell r="A42" t="str">
            <v>2.1.1.38</v>
          </cell>
          <cell r="B42" t="str">
            <v>การให้เช่าเครื่องจักรและเครื่องอุปกรณ์อื่นๆ ซึ่งมิได้จัดประเภทไว้ในที่อื่น</v>
          </cell>
          <cell r="C42">
            <v>8008</v>
          </cell>
          <cell r="D42">
            <v>44475.6</v>
          </cell>
          <cell r="E42">
            <v>5.5538961038961041</v>
          </cell>
          <cell r="F42">
            <v>1.7520176983899383</v>
          </cell>
          <cell r="G42">
            <v>192368.9</v>
          </cell>
          <cell r="H42">
            <v>24.022090409590408</v>
          </cell>
          <cell r="I42">
            <v>9616.1</v>
          </cell>
        </row>
        <row r="43">
          <cell r="A43" t="str">
            <v>2.1.1.39</v>
          </cell>
          <cell r="B43" t="str">
            <v>การให้เช่าของใช้ส่วนบุคคลและของใช้ในครัวเรือน ซึ่งมิได้จัดประเภทไว้ในที่อื่น</v>
          </cell>
          <cell r="C43">
            <v>10789</v>
          </cell>
          <cell r="D43">
            <v>241103.9</v>
          </cell>
          <cell r="E43">
            <v>22.347196218370563</v>
          </cell>
          <cell r="F43">
            <v>7.0495887124197356</v>
          </cell>
          <cell r="G43">
            <v>68202</v>
          </cell>
          <cell r="H43">
            <v>6.3214385021781441</v>
          </cell>
          <cell r="I43">
            <v>29968.7</v>
          </cell>
        </row>
        <row r="44">
          <cell r="A44" t="str">
            <v>2.1.1.40</v>
          </cell>
          <cell r="B44" t="str">
            <v>การให้คำปรึกษาเกี่ยวกับฮาร์ดแวร์</v>
          </cell>
          <cell r="C44">
            <v>343</v>
          </cell>
          <cell r="D44">
            <v>74481.399999999994</v>
          </cell>
          <cell r="E44">
            <v>217.14693877551019</v>
          </cell>
          <cell r="F44">
            <v>68.500611601107323</v>
          </cell>
          <cell r="G44">
            <v>37657.800000000003</v>
          </cell>
          <cell r="H44">
            <v>109.78950437317785</v>
          </cell>
          <cell r="I44">
            <v>10965.8</v>
          </cell>
        </row>
        <row r="45">
          <cell r="A45" t="str">
            <v>2.1.1.41</v>
          </cell>
          <cell r="B45" t="str">
            <v>การให้คำปรึกษาเกี่ยวกับซอฟต์แวร์ และการจัดหา</v>
          </cell>
          <cell r="C45">
            <v>559</v>
          </cell>
          <cell r="D45">
            <v>68287.7</v>
          </cell>
          <cell r="E45">
            <v>122.16046511627907</v>
          </cell>
          <cell r="F45">
            <v>38.536424326901916</v>
          </cell>
          <cell r="G45">
            <v>58941.4</v>
          </cell>
          <cell r="H45">
            <v>105.44078711985689</v>
          </cell>
          <cell r="I45">
            <v>9726.1</v>
          </cell>
        </row>
        <row r="46">
          <cell r="A46" t="str">
            <v>2.1.1.42</v>
          </cell>
          <cell r="B46" t="str">
            <v>การประมวลผลข้อมูล</v>
          </cell>
          <cell r="C46">
            <v>261</v>
          </cell>
          <cell r="D46">
            <v>21333.5</v>
          </cell>
          <cell r="E46">
            <v>81.737547892720301</v>
          </cell>
          <cell r="F46">
            <v>25.784715423571072</v>
          </cell>
          <cell r="G46">
            <v>1123.8</v>
          </cell>
          <cell r="H46">
            <v>4.3057471264367813</v>
          </cell>
          <cell r="I46">
            <v>2309.1</v>
          </cell>
        </row>
        <row r="47">
          <cell r="A47" t="str">
            <v>2.1.1.43</v>
          </cell>
          <cell r="B47" t="str">
            <v>กิจกรรมด้านฐานข้อมูล</v>
          </cell>
          <cell r="C47">
            <v>146</v>
          </cell>
          <cell r="D47">
            <v>38684</v>
          </cell>
          <cell r="E47">
            <v>264.95890410958901</v>
          </cell>
          <cell r="F47">
            <v>83.583250507756787</v>
          </cell>
          <cell r="G47">
            <v>612</v>
          </cell>
          <cell r="H47">
            <v>4.1917808219178081</v>
          </cell>
          <cell r="I47">
            <v>1392.7</v>
          </cell>
        </row>
        <row r="48">
          <cell r="A48" t="str">
            <v>2.1.1.44</v>
          </cell>
          <cell r="B48" t="str">
            <v>การบำรุงรักษาและการซ่อมแซมเครื่องจักรสำนักงาน เครื่องทำบัญชี และเครื่องคำนวณ</v>
          </cell>
          <cell r="C48">
            <v>3121</v>
          </cell>
          <cell r="D48">
            <v>114807.1</v>
          </cell>
          <cell r="E48">
            <v>36.785357257289334</v>
          </cell>
          <cell r="F48">
            <v>11.604213645832598</v>
          </cell>
          <cell r="G48">
            <v>79419.3</v>
          </cell>
          <cell r="H48">
            <v>25.446747837231658</v>
          </cell>
          <cell r="I48">
            <v>9218.5</v>
          </cell>
        </row>
        <row r="49">
          <cell r="A49" t="str">
            <v>2.1.1.45</v>
          </cell>
          <cell r="B49" t="str">
            <v>กิจกรรมอื่นๆ ที่เกี่ยวข้องกับคอมพิวเตอร์</v>
          </cell>
          <cell r="C49">
            <v>55</v>
          </cell>
          <cell r="D49">
            <v>6511.1</v>
          </cell>
          <cell r="E49">
            <v>118.38363636363637</v>
          </cell>
          <cell r="F49">
            <v>37.344995698308004</v>
          </cell>
          <cell r="G49">
            <v>875.7</v>
          </cell>
          <cell r="H49">
            <v>15.921818181818182</v>
          </cell>
          <cell r="I49">
            <v>3161.6</v>
          </cell>
        </row>
        <row r="50">
          <cell r="A50" t="str">
            <v>2.1.1.46</v>
          </cell>
          <cell r="B50" t="str">
            <v>การวิจัยและการพัฒนาการทดลองด้านวิทยาศาสตร์ธรรมชาติ และวิศวกรรม</v>
          </cell>
          <cell r="C50">
            <v>23</v>
          </cell>
          <cell r="D50">
            <v>9468</v>
          </cell>
          <cell r="E50">
            <v>411.6521739130435</v>
          </cell>
          <cell r="F50">
            <v>129.8587299410232</v>
          </cell>
          <cell r="G50">
            <v>10107.5</v>
          </cell>
          <cell r="H50">
            <v>439.45652173913044</v>
          </cell>
          <cell r="I50">
            <v>1085.8</v>
          </cell>
        </row>
        <row r="51">
          <cell r="A51" t="str">
            <v>2.1.1.47</v>
          </cell>
          <cell r="B51" t="str">
            <v>การวิจัยและการพัฒนาการทดลองทางด้านสังคมศาสตร์ และมนุษยศาสตร์</v>
          </cell>
          <cell r="C51">
            <v>12</v>
          </cell>
          <cell r="D51">
            <v>478.4</v>
          </cell>
          <cell r="E51">
            <v>39.866666666666667</v>
          </cell>
          <cell r="F51">
            <v>12.576235541535226</v>
          </cell>
          <cell r="G51">
            <v>1175.5</v>
          </cell>
          <cell r="H51">
            <v>97.958333333333329</v>
          </cell>
          <cell r="I51">
            <v>136.80000000000001</v>
          </cell>
        </row>
        <row r="52">
          <cell r="A52" t="str">
            <v>2.1.1.48</v>
          </cell>
          <cell r="B52" t="str">
            <v>กิจกรรมด้านกฎหมาย</v>
          </cell>
          <cell r="C52">
            <v>5239</v>
          </cell>
          <cell r="D52">
            <v>172083.7</v>
          </cell>
          <cell r="E52">
            <v>32.846669211681622</v>
          </cell>
          <cell r="F52">
            <v>10.361725303369598</v>
          </cell>
          <cell r="G52">
            <v>132642.1</v>
          </cell>
          <cell r="H52">
            <v>25.318209581981296</v>
          </cell>
          <cell r="I52">
            <v>27716.400000000001</v>
          </cell>
        </row>
        <row r="53">
          <cell r="A53" t="str">
            <v>2.1.1.49</v>
          </cell>
          <cell r="B53" t="str">
            <v>กิจกรรมการบัญชี การทำบัญชี และการตรวจสอบบัญชี การให้คำปรึกษาด้านภาษี</v>
          </cell>
          <cell r="C53">
            <v>2023</v>
          </cell>
          <cell r="D53">
            <v>149308</v>
          </cell>
          <cell r="E53">
            <v>73.805239742956005</v>
          </cell>
          <cell r="F53">
            <v>23.282410013550791</v>
          </cell>
          <cell r="G53">
            <v>150799.6</v>
          </cell>
          <cell r="H53">
            <v>74.542560553633223</v>
          </cell>
          <cell r="I53">
            <v>11575</v>
          </cell>
        </row>
        <row r="54">
          <cell r="A54" t="str">
            <v>2.1.1.50</v>
          </cell>
          <cell r="B54" t="str">
            <v>การวิจัยตลาดและการสำรวจความคิดเห็นของประชาชน</v>
          </cell>
          <cell r="C54">
            <v>63</v>
          </cell>
          <cell r="D54">
            <v>8908.1</v>
          </cell>
          <cell r="E54">
            <v>141.3984126984127</v>
          </cell>
          <cell r="F54">
            <v>44.605177507385712</v>
          </cell>
          <cell r="G54">
            <v>3047.6</v>
          </cell>
          <cell r="H54">
            <v>48.374603174603173</v>
          </cell>
          <cell r="I54">
            <v>1247.2</v>
          </cell>
        </row>
        <row r="55">
          <cell r="A55" t="str">
            <v>2.1.1.51</v>
          </cell>
          <cell r="B55" t="str">
            <v>กิจกรรมการให้คำปรึกษาทางธุรกิจและการจัดการ</v>
          </cell>
          <cell r="C55">
            <v>546</v>
          </cell>
          <cell r="D55">
            <v>58759.1</v>
          </cell>
          <cell r="E55">
            <v>107.61739926739926</v>
          </cell>
          <cell r="F55">
            <v>33.948706393501347</v>
          </cell>
          <cell r="G55">
            <v>98888.9</v>
          </cell>
          <cell r="H55">
            <v>181.11520146520147</v>
          </cell>
          <cell r="I55">
            <v>12945.7</v>
          </cell>
        </row>
        <row r="56">
          <cell r="A56" t="str">
            <v>2.1.1.52</v>
          </cell>
          <cell r="B56" t="str">
            <v>กิจกรรมด้านสถาปัตยกรรมและวิศวกรรม และการให้คำปรึกษาด้านเทคนิคที่เกี่ยวข้อง</v>
          </cell>
          <cell r="C56">
            <v>1212</v>
          </cell>
          <cell r="D56">
            <v>135548.6</v>
          </cell>
          <cell r="E56">
            <v>111.83877887788779</v>
          </cell>
          <cell r="F56">
            <v>35.280371885769021</v>
          </cell>
          <cell r="G56">
            <v>192193.4</v>
          </cell>
          <cell r="H56">
            <v>158.57541254125411</v>
          </cell>
          <cell r="I56">
            <v>31638.9</v>
          </cell>
        </row>
        <row r="57">
          <cell r="A57" t="str">
            <v>2.1.1.53</v>
          </cell>
          <cell r="B57" t="str">
            <v>การทดสอบและการวิเคราะห์ทางเทคนิค</v>
          </cell>
          <cell r="C57">
            <v>139</v>
          </cell>
          <cell r="D57">
            <v>39714.199999999997</v>
          </cell>
          <cell r="E57">
            <v>285.71366906474816</v>
          </cell>
          <cell r="F57">
            <v>90.130494973106678</v>
          </cell>
          <cell r="G57">
            <v>72384.600000000006</v>
          </cell>
          <cell r="H57">
            <v>520.75251798561158</v>
          </cell>
          <cell r="I57">
            <v>3285.4</v>
          </cell>
        </row>
        <row r="58">
          <cell r="A58" t="str">
            <v>2.1.1.54</v>
          </cell>
          <cell r="B58" t="str">
            <v>การโฆษณา</v>
          </cell>
          <cell r="C58">
            <v>5966</v>
          </cell>
          <cell r="D58">
            <v>233563.1</v>
          </cell>
          <cell r="E58">
            <v>39.149027824337914</v>
          </cell>
          <cell r="F58">
            <v>12.349851048687039</v>
          </cell>
          <cell r="G58">
            <v>177780.3</v>
          </cell>
          <cell r="H58">
            <v>29.798910492792491</v>
          </cell>
          <cell r="I58">
            <v>44268.3</v>
          </cell>
        </row>
        <row r="59">
          <cell r="A59" t="str">
            <v>2.1.1.55</v>
          </cell>
          <cell r="B59" t="str">
            <v>การจัดหาแรงงานและการสรรหาบุคลากร</v>
          </cell>
          <cell r="C59">
            <v>758</v>
          </cell>
          <cell r="D59">
            <v>46674.1</v>
          </cell>
          <cell r="E59">
            <v>61.575329815303427</v>
          </cell>
          <cell r="F59">
            <v>19.424394263502659</v>
          </cell>
          <cell r="G59">
            <v>39195.699999999997</v>
          </cell>
          <cell r="H59">
            <v>51.709366754617413</v>
          </cell>
          <cell r="I59">
            <v>9722.4</v>
          </cell>
        </row>
        <row r="60">
          <cell r="A60" t="str">
            <v>2.1.1.56</v>
          </cell>
          <cell r="B60" t="str">
            <v>กิจกรรมด้านการสืบสวนและการรักษาความปลอดภัย</v>
          </cell>
          <cell r="C60">
            <v>828</v>
          </cell>
          <cell r="D60">
            <v>60525.9</v>
          </cell>
          <cell r="E60">
            <v>73.098913043478262</v>
          </cell>
          <cell r="F60">
            <v>23.05959402002469</v>
          </cell>
          <cell r="G60">
            <v>100875.3</v>
          </cell>
          <cell r="H60">
            <v>121.83007246376812</v>
          </cell>
          <cell r="I60">
            <v>13131.6</v>
          </cell>
        </row>
        <row r="61">
          <cell r="A61" t="str">
            <v>2.1.1.57</v>
          </cell>
          <cell r="B61" t="str">
            <v>กิจกรรมการทำความสะอาดอาคาร</v>
          </cell>
          <cell r="C61">
            <v>533</v>
          </cell>
          <cell r="D61">
            <v>49527.5</v>
          </cell>
          <cell r="E61">
            <v>92.922138836772987</v>
          </cell>
          <cell r="F61">
            <v>29.312977551032489</v>
          </cell>
          <cell r="G61">
            <v>341423.8</v>
          </cell>
          <cell r="H61">
            <v>640.56998123827395</v>
          </cell>
          <cell r="I61">
            <v>41574.199999999997</v>
          </cell>
        </row>
        <row r="62">
          <cell r="A62" t="str">
            <v>2.1.1.58</v>
          </cell>
          <cell r="B62" t="str">
            <v>กิจกรรมการถ่ายภาพ</v>
          </cell>
          <cell r="C62">
            <v>7036</v>
          </cell>
          <cell r="D62">
            <v>171977.7</v>
          </cell>
          <cell r="E62">
            <v>24.442538374076182</v>
          </cell>
          <cell r="F62">
            <v>7.7105799287306569</v>
          </cell>
          <cell r="G62">
            <v>83599.100000000006</v>
          </cell>
          <cell r="H62">
            <v>11.881623081296192</v>
          </cell>
          <cell r="I62">
            <v>26612.6</v>
          </cell>
        </row>
        <row r="63">
          <cell r="A63" t="str">
            <v>2.1.1.59</v>
          </cell>
          <cell r="B63" t="str">
            <v>กิจกรรมการบรรจุหีบห่อ</v>
          </cell>
          <cell r="C63">
            <v>441</v>
          </cell>
          <cell r="D63">
            <v>186287.9</v>
          </cell>
          <cell r="E63">
            <v>422.42154195011335</v>
          </cell>
          <cell r="F63">
            <v>133.25600692432599</v>
          </cell>
          <cell r="G63">
            <v>71963.199999999997</v>
          </cell>
          <cell r="H63">
            <v>163.18185941043083</v>
          </cell>
          <cell r="I63">
            <v>15577.9</v>
          </cell>
        </row>
        <row r="64">
          <cell r="A64" t="str">
            <v>2.1.1.60</v>
          </cell>
          <cell r="B64" t="str">
            <v>กิจกรรมธุรกิจอื่นๆ ซึ่งมิได้จัดประเภทไว้ในที่อื่น</v>
          </cell>
          <cell r="C64">
            <v>15778</v>
          </cell>
          <cell r="D64">
            <v>529826</v>
          </cell>
          <cell r="E64">
            <v>33.580048168335658</v>
          </cell>
          <cell r="F64">
            <v>10.593075131967085</v>
          </cell>
          <cell r="G64">
            <v>323983.90000000002</v>
          </cell>
          <cell r="H64">
            <v>20.53390163518824</v>
          </cell>
          <cell r="I64">
            <v>119553.8</v>
          </cell>
        </row>
        <row r="65">
          <cell r="A65" t="str">
            <v>2.1.1.61</v>
          </cell>
          <cell r="B65" t="str">
            <v>การผลิตและการจำหน่ายภาพยนตร์และวีดีโอ</v>
          </cell>
          <cell r="C65">
            <v>379</v>
          </cell>
          <cell r="D65">
            <v>25871.200000000001</v>
          </cell>
          <cell r="E65">
            <v>68.261741424802111</v>
          </cell>
          <cell r="F65">
            <v>21.533672373754609</v>
          </cell>
          <cell r="G65">
            <v>22360.400000000001</v>
          </cell>
          <cell r="H65">
            <v>58.998416886543538</v>
          </cell>
          <cell r="I65">
            <v>3595.1</v>
          </cell>
        </row>
        <row r="66">
          <cell r="A66" t="str">
            <v>2.1.1.62</v>
          </cell>
          <cell r="B66" t="str">
            <v>การฉายภาพยนตร์</v>
          </cell>
          <cell r="C66">
            <v>638</v>
          </cell>
          <cell r="D66">
            <v>624318</v>
          </cell>
          <cell r="E66">
            <v>978.55485893416926</v>
          </cell>
          <cell r="F66">
            <v>308.69238452181997</v>
          </cell>
          <cell r="G66">
            <v>14731.6</v>
          </cell>
          <cell r="H66">
            <v>23.090282131661443</v>
          </cell>
          <cell r="I66">
            <v>46094.7</v>
          </cell>
        </row>
        <row r="67">
          <cell r="A67" t="str">
            <v>2.1.1.63</v>
          </cell>
          <cell r="B67" t="str">
            <v>กิจกรรมด้านวิทยุและโทรทัศน์</v>
          </cell>
          <cell r="C67">
            <v>837</v>
          </cell>
          <cell r="D67">
            <v>451056.4</v>
          </cell>
          <cell r="E67">
            <v>538.89653524492235</v>
          </cell>
          <cell r="F67">
            <v>169.99890701732568</v>
          </cell>
          <cell r="G67">
            <v>264688.8</v>
          </cell>
          <cell r="H67">
            <v>316.23512544802867</v>
          </cell>
          <cell r="I67">
            <v>13124.1</v>
          </cell>
        </row>
        <row r="68">
          <cell r="A68" t="str">
            <v>2.1.1.64</v>
          </cell>
          <cell r="B68" t="str">
            <v>กิจกรรมด้านศิลปการละคร ดนตรี และศิลปะอื่นๆ</v>
          </cell>
          <cell r="C68">
            <v>5955</v>
          </cell>
          <cell r="D68">
            <v>44219.3</v>
          </cell>
          <cell r="E68">
            <v>7.4255751469353486</v>
          </cell>
          <cell r="F68">
            <v>2.3424527277398575</v>
          </cell>
          <cell r="G68">
            <v>144099.9</v>
          </cell>
          <cell r="H68">
            <v>24.198136020151132</v>
          </cell>
          <cell r="I68">
            <v>8801</v>
          </cell>
        </row>
        <row r="69">
          <cell r="A69" t="str">
            <v>2.1.1.65</v>
          </cell>
          <cell r="B69" t="str">
            <v>กิจกรรมด้านความบันเทิงอื่นๆ ซึ่งมิได้จัดประเภทไว้ในที่อื่น</v>
          </cell>
          <cell r="C69">
            <v>172</v>
          </cell>
          <cell r="D69">
            <v>63151.4</v>
          </cell>
          <cell r="E69">
            <v>367.15930232558139</v>
          </cell>
          <cell r="F69">
            <v>115.82312376201305</v>
          </cell>
          <cell r="G69">
            <v>14184.1</v>
          </cell>
          <cell r="H69">
            <v>82.465697674418607</v>
          </cell>
          <cell r="I69">
            <v>5308.4</v>
          </cell>
        </row>
        <row r="70">
          <cell r="A70" t="str">
            <v>2.1.1.66</v>
          </cell>
          <cell r="B70" t="str">
            <v>กิจกรรมของสำนักข่าว</v>
          </cell>
          <cell r="C70">
            <v>107</v>
          </cell>
          <cell r="D70">
            <v>8093.4</v>
          </cell>
          <cell r="E70">
            <v>75.639252336448592</v>
          </cell>
          <cell r="F70">
            <v>23.86096288216044</v>
          </cell>
          <cell r="G70">
            <v>5622.9</v>
          </cell>
          <cell r="H70">
            <v>52.55046728971962</v>
          </cell>
          <cell r="I70">
            <v>1079.7</v>
          </cell>
        </row>
        <row r="71">
          <cell r="A71" t="str">
            <v>2.1.1.67</v>
          </cell>
          <cell r="B71" t="str">
            <v>กิจกรรมการกีฬา</v>
          </cell>
          <cell r="C71">
            <v>4056</v>
          </cell>
          <cell r="D71">
            <v>1322678.5</v>
          </cell>
          <cell r="E71">
            <v>326.10416666666669</v>
          </cell>
          <cell r="F71">
            <v>102.87197686645636</v>
          </cell>
          <cell r="G71">
            <v>190238.9</v>
          </cell>
          <cell r="H71">
            <v>46.903081854043393</v>
          </cell>
          <cell r="I71">
            <v>364269.4</v>
          </cell>
        </row>
        <row r="72">
          <cell r="A72" t="str">
            <v>2.1.1.68</v>
          </cell>
          <cell r="B72" t="str">
            <v>กิจกรรมนันทนาการอื่นๆ</v>
          </cell>
          <cell r="C72">
            <v>15616</v>
          </cell>
          <cell r="D72">
            <v>677877.7</v>
          </cell>
          <cell r="E72">
            <v>43.409176485655735</v>
          </cell>
          <cell r="F72">
            <v>13.69374652544345</v>
          </cell>
          <cell r="G72">
            <v>60193.599999999999</v>
          </cell>
          <cell r="H72">
            <v>3.8546106557377047</v>
          </cell>
          <cell r="I72">
            <v>53613.8</v>
          </cell>
        </row>
        <row r="73">
          <cell r="A73" t="str">
            <v>2.1.1.69</v>
          </cell>
          <cell r="B73" t="str">
            <v>การบริการซักรีด และการซักแห้ง ผลิตภัณฑ์สิ่งทอและขนสัตว์</v>
          </cell>
          <cell r="C73">
            <v>27830</v>
          </cell>
          <cell r="D73">
            <v>455330.6</v>
          </cell>
          <cell r="E73">
            <v>16.361142651814589</v>
          </cell>
          <cell r="F73">
            <v>5.1612437387427725</v>
          </cell>
          <cell r="G73">
            <v>101888.7</v>
          </cell>
          <cell r="H73">
            <v>3.6611103126122888</v>
          </cell>
          <cell r="I73">
            <v>199024.9</v>
          </cell>
        </row>
        <row r="74">
          <cell r="A74" t="str">
            <v>2.1.1.70</v>
          </cell>
          <cell r="B74" t="str">
            <v>การแต่งผมและการเสริมสวยอื่นๆ</v>
          </cell>
          <cell r="C74">
            <v>116088</v>
          </cell>
          <cell r="D74">
            <v>1651696</v>
          </cell>
          <cell r="E74">
            <v>14.227964992074977</v>
          </cell>
          <cell r="F74">
            <v>4.4883170322003085</v>
          </cell>
          <cell r="G74">
            <v>179356.6</v>
          </cell>
          <cell r="H74">
            <v>1.5450055130590588</v>
          </cell>
          <cell r="I74">
            <v>454621.5</v>
          </cell>
        </row>
        <row r="75">
          <cell r="A75" t="str">
            <v>2.1.1.71</v>
          </cell>
          <cell r="B75" t="str">
            <v>การทำศพและกิจกรรมที่เกี่ยวข้อง</v>
          </cell>
          <cell r="C75">
            <v>362</v>
          </cell>
          <cell r="D75">
            <v>2380.9</v>
          </cell>
          <cell r="E75">
            <v>6.5770718232044203</v>
          </cell>
          <cell r="F75">
            <v>2.0747860641023408</v>
          </cell>
          <cell r="G75">
            <v>2005.8</v>
          </cell>
          <cell r="H75">
            <v>5.5408839779005525</v>
          </cell>
          <cell r="I75">
            <v>771</v>
          </cell>
        </row>
        <row r="76">
          <cell r="A76" t="str">
            <v>2.1.1.72</v>
          </cell>
          <cell r="B76" t="str">
            <v>กิจกรรมการบริการอื่นๆ ซึ่งมิได้จัดประเภทไว้ในที่อื่น</v>
          </cell>
          <cell r="C76">
            <v>13248</v>
          </cell>
          <cell r="D76">
            <v>648650.9</v>
          </cell>
          <cell r="E76">
            <v>48.962175422705315</v>
          </cell>
          <cell r="F76">
            <v>15.44548120590073</v>
          </cell>
          <cell r="G76">
            <v>132615.79999999999</v>
          </cell>
          <cell r="H76">
            <v>10.010250603864733</v>
          </cell>
          <cell r="I76">
            <v>126228</v>
          </cell>
        </row>
      </sheetData>
      <sheetData sheetId="2"/>
      <sheetData sheetId="3"/>
      <sheetData sheetId="4"/>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 val="Business_Energy_Consumption"/>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 sheetId="4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MCF"/>
      <sheetName val="Activity"/>
      <sheetName val="Amnt_Deposited"/>
      <sheetName val="Recovery_OX"/>
      <sheetName val="Results"/>
      <sheetName val="HWP"/>
      <sheetName val="Stored_C"/>
      <sheetName val="Theory"/>
      <sheetName val="Defaults"/>
      <sheetName val="Food"/>
      <sheetName val="Garden"/>
      <sheetName val="Paper"/>
      <sheetName val="Wood"/>
      <sheetName val="Textiles"/>
      <sheetName val="Nappies"/>
      <sheetName val="Sludge"/>
      <sheetName val="MSW"/>
      <sheetName val="Industry"/>
      <sheetName val="CCF_05"/>
      <sheetName val="การแปลงหน่วย"/>
      <sheetName val="EF"/>
      <sheetName val="Dropdown"/>
      <sheetName val="GWP"/>
      <sheetName val="NCV"/>
      <sheetName val="การใช้พลังงานในธุรกิจการค้า"/>
      <sheetName val="จำนวนอุตสาหกรรมการผลิต"/>
      <sheetName val="การใช้พลังงานในอุตสาหกรรม"/>
      <sheetName val="จำนวนธุรกิจการค้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W5">
            <v>13</v>
          </cell>
        </row>
        <row r="8">
          <cell r="D8">
            <v>0.04</v>
          </cell>
          <cell r="E8" t="str">
            <v>0.03–0.05</v>
          </cell>
          <cell r="F8">
            <v>0.06</v>
          </cell>
          <cell r="G8" t="str">
            <v>0.05–0.07</v>
          </cell>
          <cell r="H8">
            <v>4.4999999999999998E-2</v>
          </cell>
          <cell r="I8" t="str">
            <v>0.04–0.06</v>
          </cell>
          <cell r="J8">
            <v>7.0000000000000007E-2</v>
          </cell>
          <cell r="K8" t="str">
            <v>0.06–0.085</v>
          </cell>
          <cell r="P8">
            <v>0.15</v>
          </cell>
          <cell r="Q8" t="str">
            <v>0.08-0.20</v>
          </cell>
          <cell r="W8">
            <v>18.8</v>
          </cell>
          <cell r="X8">
            <v>3.5</v>
          </cell>
          <cell r="Y8">
            <v>26.2</v>
          </cell>
          <cell r="Z8">
            <v>3.5</v>
          </cell>
          <cell r="AD8">
            <v>1</v>
          </cell>
          <cell r="AE8">
            <v>47</v>
          </cell>
          <cell r="AF8">
            <v>0.55000000000000004</v>
          </cell>
          <cell r="AG8">
            <v>0.55000000000000004</v>
          </cell>
          <cell r="AH8">
            <v>0.14000000000000001</v>
          </cell>
        </row>
        <row r="9">
          <cell r="D9">
            <v>0.02</v>
          </cell>
          <cell r="E9" t="str">
            <v>0.01–0.03</v>
          </cell>
          <cell r="F9">
            <v>0.03</v>
          </cell>
          <cell r="G9" t="str">
            <v>0.02–0.04</v>
          </cell>
          <cell r="H9">
            <v>2.5000000000000001E-2</v>
          </cell>
          <cell r="I9" t="str">
            <v>0.02–0.04</v>
          </cell>
          <cell r="J9">
            <v>3.5000000000000003E-2</v>
          </cell>
          <cell r="K9" t="str">
            <v>0.03–0.05</v>
          </cell>
          <cell r="P9">
            <v>0.2</v>
          </cell>
          <cell r="Q9" t="str">
            <v>0.18-0.22</v>
          </cell>
          <cell r="W9">
            <v>11.3</v>
          </cell>
          <cell r="X9">
            <v>2.5</v>
          </cell>
          <cell r="Y9">
            <v>40.299999999999997</v>
          </cell>
          <cell r="Z9">
            <v>7.9</v>
          </cell>
          <cell r="AD9">
            <v>0.8</v>
          </cell>
          <cell r="AE9">
            <v>37.20000000000001</v>
          </cell>
          <cell r="AF9">
            <v>0.21</v>
          </cell>
          <cell r="AG9">
            <v>0.74</v>
          </cell>
          <cell r="AH9">
            <v>0.15</v>
          </cell>
        </row>
        <row r="10">
          <cell r="D10">
            <v>0.05</v>
          </cell>
          <cell r="E10" t="str">
            <v>0.04–0.06</v>
          </cell>
          <cell r="F10">
            <v>0.1</v>
          </cell>
          <cell r="G10" t="str">
            <v>0.06–0.1</v>
          </cell>
          <cell r="H10">
            <v>6.5000000000000002E-2</v>
          </cell>
          <cell r="I10" t="str">
            <v>0.05–0.08</v>
          </cell>
          <cell r="J10">
            <v>0.17</v>
          </cell>
          <cell r="K10" t="str">
            <v>0.15–0.2</v>
          </cell>
          <cell r="P10">
            <v>0.4</v>
          </cell>
          <cell r="Q10" t="str">
            <v>0.36-0.45</v>
          </cell>
          <cell r="W10">
            <v>12.9</v>
          </cell>
          <cell r="X10">
            <v>2.7</v>
          </cell>
          <cell r="Y10">
            <v>43.5</v>
          </cell>
          <cell r="Z10">
            <v>9.9</v>
          </cell>
          <cell r="AD10">
            <v>0.9</v>
          </cell>
          <cell r="AE10">
            <v>30.099999999999994</v>
          </cell>
          <cell r="AF10">
            <v>0.27</v>
          </cell>
          <cell r="AG10">
            <v>0.59</v>
          </cell>
          <cell r="AH10">
            <v>0.17</v>
          </cell>
        </row>
        <row r="11">
          <cell r="D11">
            <v>0.06</v>
          </cell>
          <cell r="E11" t="str">
            <v>0.05–0.08</v>
          </cell>
          <cell r="F11">
            <v>0.185</v>
          </cell>
          <cell r="G11" t="str">
            <v>0.1–0.2</v>
          </cell>
          <cell r="H11">
            <v>8.5000000000000006E-2</v>
          </cell>
          <cell r="I11" t="str">
            <v>0.07–0.1</v>
          </cell>
          <cell r="J11">
            <v>0.4</v>
          </cell>
          <cell r="K11" t="str">
            <v xml:space="preserve">0.17–0.7 </v>
          </cell>
          <cell r="P11">
            <v>0.43</v>
          </cell>
          <cell r="Q11" t="str">
            <v>0.39-0.46</v>
          </cell>
          <cell r="W11">
            <v>18</v>
          </cell>
          <cell r="X11">
            <v>2.9</v>
          </cell>
          <cell r="Y11">
            <v>41.1</v>
          </cell>
          <cell r="Z11">
            <v>9.8000000000000007</v>
          </cell>
          <cell r="AD11">
            <v>0.6</v>
          </cell>
          <cell r="AE11">
            <v>27.600000000000009</v>
          </cell>
          <cell r="AF11">
            <v>0.42055555555555557</v>
          </cell>
          <cell r="AG11">
            <v>0.676111111111111</v>
          </cell>
          <cell r="AH11">
            <v>0.19</v>
          </cell>
        </row>
        <row r="12">
          <cell r="D12">
            <v>0.05</v>
          </cell>
          <cell r="E12" t="str">
            <v>0.04–0.06</v>
          </cell>
          <cell r="F12">
            <v>0.09</v>
          </cell>
          <cell r="G12" t="str">
            <v>0.08–0.1</v>
          </cell>
          <cell r="H12">
            <v>6.5000000000000002E-2</v>
          </cell>
          <cell r="I12" t="str">
            <v>0.05–0.08</v>
          </cell>
          <cell r="J12">
            <v>0.17</v>
          </cell>
          <cell r="K12" t="str">
            <v>0.15–0.2</v>
          </cell>
          <cell r="P12">
            <v>0.24</v>
          </cell>
          <cell r="Q12" t="str">
            <v>0.20-0.40</v>
          </cell>
          <cell r="W12">
            <v>7.7</v>
          </cell>
          <cell r="X12">
            <v>1.7</v>
          </cell>
          <cell r="Y12">
            <v>53.9</v>
          </cell>
          <cell r="Z12">
            <v>7</v>
          </cell>
          <cell r="AD12">
            <v>1.1000000000000001</v>
          </cell>
          <cell r="AE12">
            <v>28.600000000000009</v>
          </cell>
          <cell r="AF12">
            <v>0.28999999999999998</v>
          </cell>
          <cell r="AG12">
            <v>0.69</v>
          </cell>
          <cell r="AH12">
            <v>0.15</v>
          </cell>
        </row>
        <row r="13">
          <cell r="P13">
            <v>0.24</v>
          </cell>
          <cell r="Q13" t="str">
            <v>0.18-0.32</v>
          </cell>
          <cell r="W13">
            <v>16.8</v>
          </cell>
          <cell r="X13">
            <v>2.5</v>
          </cell>
          <cell r="Y13">
            <v>43.4</v>
          </cell>
          <cell r="Z13">
            <v>6.5</v>
          </cell>
          <cell r="AE13">
            <v>30.799999999999997</v>
          </cell>
          <cell r="AF13">
            <v>0.28999999999999998</v>
          </cell>
          <cell r="AG13">
            <v>0.69</v>
          </cell>
          <cell r="AH13">
            <v>0.17</v>
          </cell>
        </row>
        <row r="14">
          <cell r="P14">
            <v>0.05</v>
          </cell>
          <cell r="Q14" t="str">
            <v>0.04-0.05</v>
          </cell>
          <cell r="W14">
            <v>16.5</v>
          </cell>
          <cell r="X14">
            <v>2.5</v>
          </cell>
          <cell r="Y14">
            <v>51.1</v>
          </cell>
          <cell r="Z14">
            <v>2</v>
          </cell>
          <cell r="AE14">
            <v>27.900000000000006</v>
          </cell>
          <cell r="AF14">
            <v>0.28999999999999998</v>
          </cell>
          <cell r="AG14">
            <v>0.69</v>
          </cell>
          <cell r="AH14">
            <v>0.16</v>
          </cell>
        </row>
        <row r="15">
          <cell r="P15">
            <v>0.39</v>
          </cell>
          <cell r="Q15" t="str">
            <v>0.39</v>
          </cell>
          <cell r="W15">
            <v>25</v>
          </cell>
          <cell r="Y15">
            <v>23</v>
          </cell>
          <cell r="Z15">
            <v>15</v>
          </cell>
          <cell r="AE15">
            <v>37</v>
          </cell>
          <cell r="AF15">
            <v>0.28999999999999998</v>
          </cell>
          <cell r="AG15">
            <v>0.69</v>
          </cell>
          <cell r="AH15">
            <v>0.2</v>
          </cell>
        </row>
        <row r="16">
          <cell r="P16">
            <v>0.18</v>
          </cell>
          <cell r="Q16" t="str">
            <v>0.12-0.28</v>
          </cell>
          <cell r="W16">
            <v>9.8000000000000007</v>
          </cell>
          <cell r="X16">
            <v>1</v>
          </cell>
          <cell r="Y16">
            <v>40.4</v>
          </cell>
          <cell r="Z16">
            <v>4.4000000000000004</v>
          </cell>
          <cell r="AE16">
            <v>44.4</v>
          </cell>
          <cell r="AF16">
            <v>0.28999999999999998</v>
          </cell>
          <cell r="AG16">
            <v>0.69</v>
          </cell>
          <cell r="AH16">
            <v>0.12</v>
          </cell>
        </row>
        <row r="17">
          <cell r="G17">
            <v>2</v>
          </cell>
          <cell r="P17">
            <v>0.15</v>
          </cell>
          <cell r="Q17" t="str">
            <v>0-0.54</v>
          </cell>
          <cell r="W17">
            <v>21.8</v>
          </cell>
          <cell r="X17">
            <v>4.7</v>
          </cell>
          <cell r="Y17">
            <v>30.1</v>
          </cell>
          <cell r="Z17">
            <v>7.5</v>
          </cell>
          <cell r="AD17">
            <v>1.4</v>
          </cell>
          <cell r="AE17">
            <v>34.5</v>
          </cell>
          <cell r="AF17">
            <v>0.38</v>
          </cell>
          <cell r="AG17">
            <v>0.9</v>
          </cell>
          <cell r="AH17">
            <v>0.18</v>
          </cell>
        </row>
        <row r="18">
          <cell r="W18">
            <v>30.6</v>
          </cell>
          <cell r="X18">
            <v>2</v>
          </cell>
          <cell r="Y18">
            <v>23.8</v>
          </cell>
          <cell r="Z18">
            <v>10</v>
          </cell>
          <cell r="AE18">
            <v>33.599999999999994</v>
          </cell>
          <cell r="AF18">
            <v>0.64</v>
          </cell>
          <cell r="AG18">
            <v>0.47</v>
          </cell>
          <cell r="AH18">
            <v>0.21</v>
          </cell>
        </row>
        <row r="19">
          <cell r="W19">
            <v>17</v>
          </cell>
          <cell r="Y19">
            <v>36.9</v>
          </cell>
          <cell r="Z19">
            <v>10.6</v>
          </cell>
          <cell r="AE19">
            <v>35.5</v>
          </cell>
          <cell r="AF19">
            <v>0.52</v>
          </cell>
          <cell r="AG19">
            <v>0.85</v>
          </cell>
          <cell r="AH19">
            <v>0.17</v>
          </cell>
        </row>
        <row r="20">
          <cell r="O20">
            <v>1</v>
          </cell>
          <cell r="W20">
            <v>27.5</v>
          </cell>
          <cell r="Y20">
            <v>24.2</v>
          </cell>
          <cell r="Z20">
            <v>11</v>
          </cell>
          <cell r="AE20">
            <v>37.299999999999997</v>
          </cell>
          <cell r="AF20">
            <v>0.56000000000000005</v>
          </cell>
          <cell r="AG20">
            <v>0.47</v>
          </cell>
          <cell r="AH20">
            <v>0.19</v>
          </cell>
        </row>
        <row r="21">
          <cell r="W21">
            <v>30</v>
          </cell>
          <cell r="Y21">
            <v>36</v>
          </cell>
          <cell r="Z21">
            <v>24</v>
          </cell>
          <cell r="AE21">
            <v>10</v>
          </cell>
          <cell r="AF21">
            <v>0.69</v>
          </cell>
          <cell r="AG21">
            <v>0.85</v>
          </cell>
          <cell r="AH21">
            <v>0.28000000000000003</v>
          </cell>
        </row>
        <row r="22">
          <cell r="W22">
            <v>6</v>
          </cell>
          <cell r="Y22">
            <v>67.5</v>
          </cell>
          <cell r="Z22">
            <v>2.5</v>
          </cell>
          <cell r="AE22">
            <v>24</v>
          </cell>
          <cell r="AF22">
            <v>0.69</v>
          </cell>
          <cell r="AG22">
            <v>0.85</v>
          </cell>
          <cell r="AH22">
            <v>0.14000000000000001</v>
          </cell>
        </row>
        <row r="23">
          <cell r="W23">
            <v>23.2</v>
          </cell>
          <cell r="X23">
            <v>3.9</v>
          </cell>
          <cell r="Y23">
            <v>33.9</v>
          </cell>
          <cell r="Z23">
            <v>6.2</v>
          </cell>
          <cell r="AD23">
            <v>1.4</v>
          </cell>
          <cell r="AE23">
            <v>31.399999999999991</v>
          </cell>
          <cell r="AF23">
            <v>0.65</v>
          </cell>
          <cell r="AG23">
            <v>0.57999999999999996</v>
          </cell>
          <cell r="AH23">
            <v>0.19</v>
          </cell>
        </row>
        <row r="24">
          <cell r="W24">
            <v>13.7</v>
          </cell>
          <cell r="X24">
            <v>2.6</v>
          </cell>
          <cell r="Y24">
            <v>43.8</v>
          </cell>
          <cell r="Z24">
            <v>13.5</v>
          </cell>
          <cell r="AD24">
            <v>1.8</v>
          </cell>
          <cell r="AE24">
            <v>24.600000000000009</v>
          </cell>
          <cell r="AF24">
            <v>0.21</v>
          </cell>
          <cell r="AG24">
            <v>0.5</v>
          </cell>
          <cell r="AH24">
            <v>0.19</v>
          </cell>
        </row>
        <row r="25">
          <cell r="W25">
            <v>17.100000000000001</v>
          </cell>
          <cell r="X25">
            <v>2.6</v>
          </cell>
          <cell r="Y25">
            <v>44.9</v>
          </cell>
          <cell r="Z25">
            <v>4.7</v>
          </cell>
          <cell r="AD25">
            <v>0.7</v>
          </cell>
          <cell r="AE25">
            <v>30</v>
          </cell>
          <cell r="AF25">
            <v>0.26</v>
          </cell>
          <cell r="AG25">
            <v>0.54</v>
          </cell>
          <cell r="AH25">
            <v>0.16</v>
          </cell>
        </row>
        <row r="26">
          <cell r="W26">
            <v>17</v>
          </cell>
          <cell r="X26">
            <v>5.0999999999999996</v>
          </cell>
          <cell r="Y26">
            <v>46.9</v>
          </cell>
          <cell r="Z26">
            <v>2.4</v>
          </cell>
          <cell r="AD26">
            <v>1.9</v>
          </cell>
          <cell r="AE26">
            <v>26.699999999999989</v>
          </cell>
          <cell r="AF26">
            <v>0.49</v>
          </cell>
          <cell r="AG26">
            <v>0.83</v>
          </cell>
          <cell r="AH26">
            <v>0.17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 val="Defaults"/>
    </sheetNames>
    <sheetDataSet>
      <sheetData sheetId="0">
        <row r="5">
          <cell r="F5">
            <v>2556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2">
          <cell r="D12">
            <v>31.48</v>
          </cell>
        </row>
        <row r="15">
          <cell r="D15">
            <v>36.42</v>
          </cell>
        </row>
      </sheetData>
      <sheetData sheetId="31"/>
      <sheetData sheetId="32">
        <row r="4">
          <cell r="F4">
            <v>14.29</v>
          </cell>
          <cell r="G4">
            <v>15.65</v>
          </cell>
          <cell r="H4">
            <v>18.260000000000002</v>
          </cell>
          <cell r="I4">
            <v>23.09</v>
          </cell>
          <cell r="J4">
            <v>26.76</v>
          </cell>
          <cell r="K4">
            <v>28.31</v>
          </cell>
          <cell r="L4">
            <v>33.4</v>
          </cell>
          <cell r="M4">
            <v>31.33</v>
          </cell>
          <cell r="N4">
            <v>36.07</v>
          </cell>
          <cell r="O4">
            <v>39.72</v>
          </cell>
          <cell r="P4">
            <v>41.92</v>
          </cell>
          <cell r="Q4" t="str">
            <v>n/a</v>
          </cell>
          <cell r="R4" t="str">
            <v>n/a</v>
          </cell>
        </row>
        <row r="5">
          <cell r="F5">
            <v>15.28</v>
          </cell>
          <cell r="G5">
            <v>16.600000000000001</v>
          </cell>
          <cell r="H5">
            <v>19.059999999999999</v>
          </cell>
          <cell r="I5">
            <v>23.89</v>
          </cell>
          <cell r="J5">
            <v>27.55</v>
          </cell>
          <cell r="K5">
            <v>29.18</v>
          </cell>
          <cell r="L5">
            <v>35.64</v>
          </cell>
          <cell r="M5">
            <v>38.26</v>
          </cell>
          <cell r="N5">
            <v>42.34</v>
          </cell>
          <cell r="O5" t="str">
            <v>n/a</v>
          </cell>
          <cell r="P5" t="str">
            <v>n/a</v>
          </cell>
          <cell r="Q5">
            <v>46.32</v>
          </cell>
          <cell r="R5">
            <v>38.51</v>
          </cell>
        </row>
        <row r="6">
          <cell r="F6">
            <v>0</v>
          </cell>
          <cell r="G6">
            <v>0</v>
          </cell>
          <cell r="H6">
            <v>0</v>
          </cell>
          <cell r="I6">
            <v>0</v>
          </cell>
          <cell r="J6">
            <v>0</v>
          </cell>
          <cell r="K6">
            <v>0</v>
          </cell>
          <cell r="L6">
            <v>0</v>
          </cell>
          <cell r="M6">
            <v>0</v>
          </cell>
          <cell r="N6">
            <v>30.85</v>
          </cell>
          <cell r="O6">
            <v>33.96</v>
          </cell>
          <cell r="P6">
            <v>35.94</v>
          </cell>
          <cell r="Q6">
            <v>36.43</v>
          </cell>
          <cell r="R6">
            <v>38.159999999999997</v>
          </cell>
        </row>
        <row r="7">
          <cell r="F7">
            <v>0</v>
          </cell>
          <cell r="G7">
            <v>0</v>
          </cell>
          <cell r="H7">
            <v>0</v>
          </cell>
          <cell r="I7">
            <v>0</v>
          </cell>
          <cell r="J7">
            <v>0</v>
          </cell>
          <cell r="K7">
            <v>0</v>
          </cell>
          <cell r="L7">
            <v>0</v>
          </cell>
          <cell r="M7">
            <v>0</v>
          </cell>
          <cell r="N7">
            <v>32.35</v>
          </cell>
          <cell r="O7">
            <v>36.520000000000003</v>
          </cell>
          <cell r="P7">
            <v>37.96</v>
          </cell>
          <cell r="Q7">
            <v>38.89</v>
          </cell>
          <cell r="R7">
            <v>40.61</v>
          </cell>
        </row>
        <row r="8">
          <cell r="F8">
            <v>0</v>
          </cell>
          <cell r="G8">
            <v>0</v>
          </cell>
          <cell r="H8">
            <v>0</v>
          </cell>
          <cell r="I8">
            <v>0</v>
          </cell>
          <cell r="J8">
            <v>0</v>
          </cell>
          <cell r="K8">
            <v>0</v>
          </cell>
          <cell r="L8">
            <v>0</v>
          </cell>
          <cell r="M8">
            <v>0</v>
          </cell>
          <cell r="N8">
            <v>29.96</v>
          </cell>
          <cell r="O8">
            <v>32.94</v>
          </cell>
          <cell r="P8">
            <v>34.35</v>
          </cell>
          <cell r="Q8">
            <v>33.82</v>
          </cell>
          <cell r="R8">
            <v>35.479999999999997</v>
          </cell>
        </row>
        <row r="9">
          <cell r="F9">
            <v>0</v>
          </cell>
          <cell r="G9">
            <v>0</v>
          </cell>
          <cell r="H9">
            <v>0</v>
          </cell>
          <cell r="I9">
            <v>0</v>
          </cell>
          <cell r="J9">
            <v>0</v>
          </cell>
          <cell r="K9">
            <v>0</v>
          </cell>
          <cell r="L9">
            <v>0</v>
          </cell>
          <cell r="M9">
            <v>0</v>
          </cell>
          <cell r="N9">
            <v>19.21</v>
          </cell>
          <cell r="O9">
            <v>21.75</v>
          </cell>
          <cell r="P9">
            <v>22.231999999999999</v>
          </cell>
          <cell r="Q9">
            <v>22.74</v>
          </cell>
          <cell r="R9">
            <v>24.42</v>
          </cell>
        </row>
        <row r="10">
          <cell r="F10">
            <v>0</v>
          </cell>
          <cell r="G10">
            <v>0</v>
          </cell>
          <cell r="H10">
            <v>0</v>
          </cell>
          <cell r="I10">
            <v>0</v>
          </cell>
          <cell r="J10">
            <v>0</v>
          </cell>
          <cell r="K10">
            <v>0</v>
          </cell>
          <cell r="L10">
            <v>0</v>
          </cell>
          <cell r="M10">
            <v>0</v>
          </cell>
          <cell r="N10">
            <v>28.69</v>
          </cell>
          <cell r="O10">
            <v>29.45</v>
          </cell>
          <cell r="P10">
            <v>30.42</v>
          </cell>
          <cell r="Q10">
            <v>29.97</v>
          </cell>
          <cell r="R10">
            <v>29.99</v>
          </cell>
        </row>
        <row r="11">
          <cell r="F11">
            <v>0</v>
          </cell>
          <cell r="G11">
            <v>0</v>
          </cell>
          <cell r="H11">
            <v>0</v>
          </cell>
          <cell r="I11">
            <v>0</v>
          </cell>
          <cell r="J11">
            <v>0</v>
          </cell>
          <cell r="K11">
            <v>0</v>
          </cell>
          <cell r="L11">
            <v>0</v>
          </cell>
          <cell r="M11">
            <v>0</v>
          </cell>
          <cell r="N11">
            <v>27.55</v>
          </cell>
          <cell r="O11">
            <v>29.95</v>
          </cell>
          <cell r="P11">
            <v>29.95</v>
          </cell>
          <cell r="Q11">
            <v>29.95</v>
          </cell>
          <cell r="R11">
            <v>29.95</v>
          </cell>
        </row>
        <row r="12">
          <cell r="F12">
            <v>0</v>
          </cell>
          <cell r="G12">
            <v>0</v>
          </cell>
          <cell r="H12">
            <v>0</v>
          </cell>
          <cell r="I12">
            <v>0</v>
          </cell>
          <cell r="J12">
            <v>0</v>
          </cell>
          <cell r="K12">
            <v>8.5</v>
          </cell>
          <cell r="L12">
            <v>8.5</v>
          </cell>
          <cell r="M12">
            <v>8.5</v>
          </cell>
          <cell r="N12">
            <v>8.5</v>
          </cell>
          <cell r="O12">
            <v>8.5</v>
          </cell>
          <cell r="P12">
            <v>10.17</v>
          </cell>
          <cell r="Q12">
            <v>10.5</v>
          </cell>
          <cell r="R12">
            <v>12.44</v>
          </cell>
        </row>
        <row r="13">
          <cell r="F13">
            <v>0</v>
          </cell>
          <cell r="G13">
            <v>0</v>
          </cell>
          <cell r="H13">
            <v>0</v>
          </cell>
          <cell r="I13">
            <v>0</v>
          </cell>
          <cell r="J13">
            <v>0</v>
          </cell>
          <cell r="K13">
            <v>0</v>
          </cell>
          <cell r="L13">
            <v>0</v>
          </cell>
          <cell r="M13">
            <v>0</v>
          </cell>
          <cell r="N13">
            <v>18.13</v>
          </cell>
          <cell r="O13">
            <v>18.13</v>
          </cell>
          <cell r="P13">
            <v>20.76</v>
          </cell>
          <cell r="Q13">
            <v>21.38</v>
          </cell>
          <cell r="R13">
            <v>21.38</v>
          </cell>
        </row>
        <row r="14">
          <cell r="F14">
            <v>0</v>
          </cell>
          <cell r="G14">
            <v>0</v>
          </cell>
          <cell r="H14">
            <v>0</v>
          </cell>
          <cell r="I14">
            <v>0</v>
          </cell>
          <cell r="J14">
            <v>0</v>
          </cell>
          <cell r="K14">
            <v>28.94</v>
          </cell>
          <cell r="L14">
            <v>38.340000000000003</v>
          </cell>
          <cell r="M14">
            <v>37.21</v>
          </cell>
          <cell r="N14">
            <v>37.51</v>
          </cell>
          <cell r="O14">
            <v>38.21</v>
          </cell>
          <cell r="P14">
            <v>36.15</v>
          </cell>
          <cell r="Q14">
            <v>35.46</v>
          </cell>
          <cell r="R14">
            <v>33.96</v>
          </cell>
        </row>
        <row r="15">
          <cell r="F15">
            <v>0</v>
          </cell>
          <cell r="G15">
            <v>0</v>
          </cell>
          <cell r="H15">
            <v>0</v>
          </cell>
          <cell r="I15">
            <v>0</v>
          </cell>
          <cell r="J15">
            <v>0</v>
          </cell>
          <cell r="K15">
            <v>18.45</v>
          </cell>
          <cell r="L15">
            <v>22.9</v>
          </cell>
          <cell r="M15">
            <v>19.829999999999998</v>
          </cell>
          <cell r="N15">
            <v>22.03</v>
          </cell>
          <cell r="O15">
            <v>26.68</v>
          </cell>
          <cell r="P15">
            <v>29.41</v>
          </cell>
          <cell r="Q15">
            <v>27.28</v>
          </cell>
          <cell r="R15">
            <v>22.7</v>
          </cell>
        </row>
        <row r="16">
          <cell r="F16">
            <v>0</v>
          </cell>
          <cell r="G16">
            <v>0</v>
          </cell>
          <cell r="H16">
            <v>0</v>
          </cell>
          <cell r="I16">
            <v>0</v>
          </cell>
          <cell r="J16">
            <v>0</v>
          </cell>
          <cell r="K16">
            <v>0</v>
          </cell>
          <cell r="L16">
            <v>0</v>
          </cell>
          <cell r="M16">
            <v>0</v>
          </cell>
          <cell r="N16">
            <v>0</v>
          </cell>
          <cell r="O16">
            <v>0</v>
          </cell>
          <cell r="P16">
            <v>0</v>
          </cell>
          <cell r="Q16">
            <v>0</v>
          </cell>
          <cell r="R16">
            <v>0</v>
          </cell>
        </row>
        <row r="17">
          <cell r="F17">
            <v>0</v>
          </cell>
          <cell r="G17">
            <v>0</v>
          </cell>
          <cell r="H17">
            <v>0</v>
          </cell>
          <cell r="I17">
            <v>0</v>
          </cell>
          <cell r="J17">
            <v>0</v>
          </cell>
          <cell r="K17">
            <v>265.14999999999998</v>
          </cell>
          <cell r="L17">
            <v>288.97000000000003</v>
          </cell>
          <cell r="M17">
            <v>290.58999999999997</v>
          </cell>
          <cell r="N17">
            <v>290.83</v>
          </cell>
          <cell r="O17">
            <v>293.60000000000002</v>
          </cell>
          <cell r="P17">
            <v>294.97000000000003</v>
          </cell>
          <cell r="Q17">
            <v>304.10000000000002</v>
          </cell>
          <cell r="R17">
            <v>400.91</v>
          </cell>
        </row>
        <row r="18">
          <cell r="F18">
            <v>0</v>
          </cell>
          <cell r="G18">
            <v>0</v>
          </cell>
          <cell r="H18">
            <v>0</v>
          </cell>
          <cell r="I18">
            <v>0</v>
          </cell>
          <cell r="J18">
            <v>0</v>
          </cell>
          <cell r="K18">
            <v>0</v>
          </cell>
          <cell r="L18">
            <v>0</v>
          </cell>
          <cell r="M18">
            <v>0</v>
          </cell>
          <cell r="N18">
            <v>30.85</v>
          </cell>
          <cell r="O18">
            <v>33.96</v>
          </cell>
          <cell r="P18">
            <v>35.94</v>
          </cell>
          <cell r="Q18">
            <v>36.43</v>
          </cell>
          <cell r="R18">
            <v>38.159999999999997</v>
          </cell>
        </row>
      </sheetData>
      <sheetData sheetId="33"/>
      <sheetData sheetId="34">
        <row r="4">
          <cell r="D4">
            <v>2543</v>
          </cell>
          <cell r="E4">
            <v>2545</v>
          </cell>
          <cell r="F4">
            <v>2547</v>
          </cell>
          <cell r="G4">
            <v>2549</v>
          </cell>
          <cell r="H4">
            <v>2551</v>
          </cell>
          <cell r="I4">
            <v>2552</v>
          </cell>
          <cell r="J4">
            <v>2553</v>
          </cell>
          <cell r="K4">
            <v>2554</v>
          </cell>
          <cell r="L4">
            <v>2555</v>
          </cell>
          <cell r="M4">
            <v>2556</v>
          </cell>
        </row>
        <row r="6">
          <cell r="C6" t="str">
            <v>น้ำมันเบนซิน</v>
          </cell>
        </row>
        <row r="7">
          <cell r="C7" t="str">
            <v>น้ำมันดีเซล</v>
          </cell>
        </row>
        <row r="8">
          <cell r="C8" t="str">
            <v>น้ำมันไบโอดีเซล</v>
          </cell>
        </row>
        <row r="9">
          <cell r="C9" t="str">
            <v>แก๊สโซฮอล์</v>
          </cell>
        </row>
        <row r="10">
          <cell r="C10" t="str">
            <v>ก๊าซปิโตรเลียมเหลว</v>
          </cell>
        </row>
        <row r="11">
          <cell r="C11" t="str">
            <v>ไฟฟ้า</v>
          </cell>
        </row>
        <row r="12">
          <cell r="C12" t="str">
            <v>ก๊าซหุงต้ม</v>
          </cell>
        </row>
        <row r="13">
          <cell r="C13" t="str">
            <v>ถ่านไม้และฟืน</v>
          </cell>
        </row>
        <row r="33">
          <cell r="D33">
            <v>352.76</v>
          </cell>
          <cell r="E33">
            <v>381.01</v>
          </cell>
          <cell r="F33">
            <v>467.92</v>
          </cell>
          <cell r="G33">
            <v>684</v>
          </cell>
          <cell r="H33">
            <v>806</v>
          </cell>
          <cell r="I33">
            <v>643</v>
          </cell>
          <cell r="J33">
            <v>736</v>
          </cell>
          <cell r="K33">
            <v>792</v>
          </cell>
          <cell r="L33">
            <v>908</v>
          </cell>
          <cell r="M33">
            <v>461</v>
          </cell>
        </row>
        <row r="34">
          <cell r="D34">
            <v>152.87</v>
          </cell>
          <cell r="E34">
            <v>161.72</v>
          </cell>
          <cell r="F34">
            <v>169.16</v>
          </cell>
          <cell r="G34">
            <v>378</v>
          </cell>
          <cell r="H34">
            <v>537</v>
          </cell>
          <cell r="I34">
            <v>441</v>
          </cell>
          <cell r="J34">
            <v>574</v>
          </cell>
          <cell r="K34">
            <v>573</v>
          </cell>
          <cell r="L34">
            <v>665</v>
          </cell>
          <cell r="M34">
            <v>675</v>
          </cell>
        </row>
        <row r="35">
          <cell r="D35" t="str">
            <v xml:space="preserve">n/a </v>
          </cell>
          <cell r="E35" t="str">
            <v xml:space="preserve">n/a </v>
          </cell>
          <cell r="F35" t="str">
            <v xml:space="preserve">n/a </v>
          </cell>
          <cell r="G35" t="str">
            <v xml:space="preserve">n/a </v>
          </cell>
          <cell r="H35" t="str">
            <v xml:space="preserve">n/a </v>
          </cell>
          <cell r="I35">
            <v>31</v>
          </cell>
          <cell r="J35">
            <v>39</v>
          </cell>
          <cell r="K35">
            <v>42</v>
          </cell>
          <cell r="L35">
            <v>35</v>
          </cell>
          <cell r="M35">
            <v>5</v>
          </cell>
        </row>
        <row r="36">
          <cell r="D36" t="str">
            <v xml:space="preserve">n/a </v>
          </cell>
          <cell r="E36" t="str">
            <v xml:space="preserve">n/a </v>
          </cell>
          <cell r="F36" t="str">
            <v xml:space="preserve">n/a </v>
          </cell>
          <cell r="G36">
            <v>10</v>
          </cell>
          <cell r="H36">
            <v>58</v>
          </cell>
          <cell r="I36">
            <v>84</v>
          </cell>
          <cell r="J36">
            <v>160</v>
          </cell>
          <cell r="K36">
            <v>168</v>
          </cell>
          <cell r="L36">
            <v>149</v>
          </cell>
          <cell r="M36">
            <v>591</v>
          </cell>
        </row>
        <row r="37">
          <cell r="D37">
            <v>0.12</v>
          </cell>
          <cell r="E37">
            <v>0.57999999999999996</v>
          </cell>
          <cell r="F37">
            <v>0.47</v>
          </cell>
          <cell r="G37" t="str">
            <v>L</v>
          </cell>
          <cell r="H37">
            <v>3</v>
          </cell>
          <cell r="I37">
            <v>8</v>
          </cell>
          <cell r="J37">
            <v>10</v>
          </cell>
          <cell r="K37">
            <v>23</v>
          </cell>
          <cell r="L37">
            <v>22</v>
          </cell>
          <cell r="M37">
            <v>26</v>
          </cell>
        </row>
        <row r="38">
          <cell r="D38">
            <v>217.02</v>
          </cell>
          <cell r="E38">
            <v>250.71</v>
          </cell>
          <cell r="F38">
            <v>290.62</v>
          </cell>
          <cell r="G38">
            <v>342</v>
          </cell>
          <cell r="H38">
            <v>392</v>
          </cell>
          <cell r="I38">
            <v>405</v>
          </cell>
          <cell r="J38">
            <v>445</v>
          </cell>
          <cell r="K38">
            <v>433</v>
          </cell>
          <cell r="L38">
            <v>486</v>
          </cell>
          <cell r="M38">
            <v>537</v>
          </cell>
        </row>
        <row r="39">
          <cell r="D39">
            <v>56.88</v>
          </cell>
          <cell r="E39">
            <v>68.78</v>
          </cell>
          <cell r="F39">
            <v>87.15</v>
          </cell>
          <cell r="G39">
            <v>87</v>
          </cell>
          <cell r="H39">
            <v>87</v>
          </cell>
          <cell r="I39">
            <v>90</v>
          </cell>
          <cell r="J39">
            <v>80</v>
          </cell>
          <cell r="K39">
            <v>78</v>
          </cell>
          <cell r="L39">
            <v>89</v>
          </cell>
          <cell r="M39">
            <v>92</v>
          </cell>
        </row>
        <row r="40">
          <cell r="D40">
            <v>11.87</v>
          </cell>
          <cell r="E40">
            <v>10.46</v>
          </cell>
          <cell r="F40">
            <v>13.87</v>
          </cell>
          <cell r="G40">
            <v>13</v>
          </cell>
          <cell r="H40">
            <v>12</v>
          </cell>
          <cell r="I40">
            <v>13</v>
          </cell>
          <cell r="J40">
            <v>9</v>
          </cell>
          <cell r="K40">
            <v>5</v>
          </cell>
          <cell r="L40" t="str">
            <v>L</v>
          </cell>
          <cell r="M40">
            <v>5</v>
          </cell>
        </row>
      </sheetData>
      <sheetData sheetId="35"/>
      <sheetData sheetId="36"/>
      <sheetData sheetId="37"/>
      <sheetData sheetId="38"/>
      <sheetData sheetId="39"/>
      <sheetData sheetId="40"/>
      <sheetData sheetId="41"/>
      <sheetData sheetId="42"/>
      <sheetData sheetId="43"/>
      <sheetData sheetId="44"/>
      <sheetData sheetId="45">
        <row r="4">
          <cell r="D4">
            <v>1</v>
          </cell>
          <cell r="E4">
            <v>25</v>
          </cell>
          <cell r="F4">
            <v>298</v>
          </cell>
        </row>
      </sheetData>
      <sheetData sheetId="46"/>
      <sheetData sheetId="47"/>
      <sheetData sheetId="4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5">
          <cell r="F5">
            <v>2556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2">
          <cell r="D12">
            <v>31.48</v>
          </cell>
        </row>
        <row r="15">
          <cell r="D15">
            <v>36.42</v>
          </cell>
        </row>
      </sheetData>
      <sheetData sheetId="31"/>
      <sheetData sheetId="32">
        <row r="4">
          <cell r="F4">
            <v>14.29</v>
          </cell>
          <cell r="G4">
            <v>15.65</v>
          </cell>
          <cell r="H4">
            <v>18.260000000000002</v>
          </cell>
          <cell r="I4">
            <v>23.09</v>
          </cell>
          <cell r="J4">
            <v>26.76</v>
          </cell>
          <cell r="K4">
            <v>28.31</v>
          </cell>
          <cell r="L4">
            <v>33.4</v>
          </cell>
          <cell r="M4">
            <v>31.33</v>
          </cell>
          <cell r="N4">
            <v>36.07</v>
          </cell>
          <cell r="O4">
            <v>39.72</v>
          </cell>
          <cell r="P4">
            <v>41.92</v>
          </cell>
          <cell r="Q4" t="str">
            <v>n/a</v>
          </cell>
          <cell r="R4" t="str">
            <v>n/a</v>
          </cell>
        </row>
        <row r="5">
          <cell r="F5">
            <v>15.28</v>
          </cell>
          <cell r="G5">
            <v>16.600000000000001</v>
          </cell>
          <cell r="H5">
            <v>19.059999999999999</v>
          </cell>
          <cell r="I5">
            <v>23.89</v>
          </cell>
          <cell r="J5">
            <v>27.55</v>
          </cell>
          <cell r="K5">
            <v>29.18</v>
          </cell>
          <cell r="L5">
            <v>35.64</v>
          </cell>
          <cell r="M5">
            <v>38.26</v>
          </cell>
          <cell r="N5">
            <v>42.34</v>
          </cell>
          <cell r="O5" t="str">
            <v>n/a</v>
          </cell>
          <cell r="P5" t="str">
            <v>n/a</v>
          </cell>
          <cell r="Q5">
            <v>46.32</v>
          </cell>
          <cell r="R5">
            <v>38.51</v>
          </cell>
        </row>
        <row r="6">
          <cell r="F6">
            <v>0</v>
          </cell>
          <cell r="G6">
            <v>0</v>
          </cell>
          <cell r="H6">
            <v>0</v>
          </cell>
          <cell r="I6">
            <v>0</v>
          </cell>
          <cell r="J6">
            <v>0</v>
          </cell>
          <cell r="K6">
            <v>0</v>
          </cell>
          <cell r="L6">
            <v>0</v>
          </cell>
          <cell r="M6">
            <v>0</v>
          </cell>
          <cell r="N6">
            <v>30.85</v>
          </cell>
          <cell r="O6">
            <v>33.96</v>
          </cell>
          <cell r="P6">
            <v>35.94</v>
          </cell>
          <cell r="Q6">
            <v>36.43</v>
          </cell>
          <cell r="R6">
            <v>38.159999999999997</v>
          </cell>
        </row>
        <row r="7">
          <cell r="F7">
            <v>0</v>
          </cell>
          <cell r="G7">
            <v>0</v>
          </cell>
          <cell r="H7">
            <v>0</v>
          </cell>
          <cell r="I7">
            <v>0</v>
          </cell>
          <cell r="J7">
            <v>0</v>
          </cell>
          <cell r="K7">
            <v>0</v>
          </cell>
          <cell r="L7">
            <v>0</v>
          </cell>
          <cell r="M7">
            <v>0</v>
          </cell>
          <cell r="N7">
            <v>32.35</v>
          </cell>
          <cell r="O7">
            <v>36.520000000000003</v>
          </cell>
          <cell r="P7">
            <v>37.96</v>
          </cell>
          <cell r="Q7">
            <v>38.89</v>
          </cell>
          <cell r="R7">
            <v>40.61</v>
          </cell>
        </row>
        <row r="8">
          <cell r="F8">
            <v>0</v>
          </cell>
          <cell r="G8">
            <v>0</v>
          </cell>
          <cell r="H8">
            <v>0</v>
          </cell>
          <cell r="I8">
            <v>0</v>
          </cell>
          <cell r="J8">
            <v>0</v>
          </cell>
          <cell r="K8">
            <v>0</v>
          </cell>
          <cell r="L8">
            <v>0</v>
          </cell>
          <cell r="M8">
            <v>0</v>
          </cell>
          <cell r="N8">
            <v>29.96</v>
          </cell>
          <cell r="O8">
            <v>32.94</v>
          </cell>
          <cell r="P8">
            <v>34.35</v>
          </cell>
          <cell r="Q8">
            <v>33.82</v>
          </cell>
          <cell r="R8">
            <v>35.479999999999997</v>
          </cell>
        </row>
        <row r="9">
          <cell r="F9">
            <v>0</v>
          </cell>
          <cell r="G9">
            <v>0</v>
          </cell>
          <cell r="H9">
            <v>0</v>
          </cell>
          <cell r="I9">
            <v>0</v>
          </cell>
          <cell r="J9">
            <v>0</v>
          </cell>
          <cell r="K9">
            <v>0</v>
          </cell>
          <cell r="L9">
            <v>0</v>
          </cell>
          <cell r="M9">
            <v>0</v>
          </cell>
          <cell r="N9">
            <v>19.21</v>
          </cell>
          <cell r="O9">
            <v>21.75</v>
          </cell>
          <cell r="P9">
            <v>22.231999999999999</v>
          </cell>
          <cell r="Q9">
            <v>22.74</v>
          </cell>
          <cell r="R9">
            <v>24.42</v>
          </cell>
        </row>
        <row r="10">
          <cell r="F10">
            <v>0</v>
          </cell>
          <cell r="G10">
            <v>0</v>
          </cell>
          <cell r="H10">
            <v>0</v>
          </cell>
          <cell r="I10">
            <v>0</v>
          </cell>
          <cell r="J10">
            <v>0</v>
          </cell>
          <cell r="K10">
            <v>0</v>
          </cell>
          <cell r="L10">
            <v>0</v>
          </cell>
          <cell r="M10">
            <v>0</v>
          </cell>
          <cell r="N10">
            <v>28.69</v>
          </cell>
          <cell r="O10">
            <v>29.45</v>
          </cell>
          <cell r="P10">
            <v>30.42</v>
          </cell>
          <cell r="Q10">
            <v>29.97</v>
          </cell>
          <cell r="R10">
            <v>29.99</v>
          </cell>
        </row>
        <row r="11">
          <cell r="F11">
            <v>0</v>
          </cell>
          <cell r="G11">
            <v>0</v>
          </cell>
          <cell r="H11">
            <v>0</v>
          </cell>
          <cell r="I11">
            <v>0</v>
          </cell>
          <cell r="J11">
            <v>0</v>
          </cell>
          <cell r="K11">
            <v>0</v>
          </cell>
          <cell r="L11">
            <v>0</v>
          </cell>
          <cell r="M11">
            <v>0</v>
          </cell>
          <cell r="N11">
            <v>27.55</v>
          </cell>
          <cell r="O11">
            <v>29.95</v>
          </cell>
          <cell r="P11">
            <v>29.95</v>
          </cell>
          <cell r="Q11">
            <v>29.95</v>
          </cell>
          <cell r="R11">
            <v>29.95</v>
          </cell>
        </row>
        <row r="12">
          <cell r="F12">
            <v>0</v>
          </cell>
          <cell r="G12">
            <v>0</v>
          </cell>
          <cell r="H12">
            <v>0</v>
          </cell>
          <cell r="I12">
            <v>0</v>
          </cell>
          <cell r="J12">
            <v>0</v>
          </cell>
          <cell r="K12">
            <v>8.5</v>
          </cell>
          <cell r="L12">
            <v>8.5</v>
          </cell>
          <cell r="M12">
            <v>8.5</v>
          </cell>
          <cell r="N12">
            <v>8.5</v>
          </cell>
          <cell r="O12">
            <v>8.5</v>
          </cell>
          <cell r="P12">
            <v>10.17</v>
          </cell>
          <cell r="Q12">
            <v>10.5</v>
          </cell>
          <cell r="R12">
            <v>12.44</v>
          </cell>
        </row>
        <row r="13">
          <cell r="F13">
            <v>0</v>
          </cell>
          <cell r="G13">
            <v>0</v>
          </cell>
          <cell r="H13">
            <v>0</v>
          </cell>
          <cell r="I13">
            <v>0</v>
          </cell>
          <cell r="J13">
            <v>0</v>
          </cell>
          <cell r="K13">
            <v>0</v>
          </cell>
          <cell r="L13">
            <v>0</v>
          </cell>
          <cell r="M13">
            <v>0</v>
          </cell>
          <cell r="N13">
            <v>18.13</v>
          </cell>
          <cell r="O13">
            <v>18.13</v>
          </cell>
          <cell r="P13">
            <v>20.76</v>
          </cell>
          <cell r="Q13">
            <v>21.38</v>
          </cell>
          <cell r="R13">
            <v>21.38</v>
          </cell>
        </row>
        <row r="14">
          <cell r="F14">
            <v>0</v>
          </cell>
          <cell r="G14">
            <v>0</v>
          </cell>
          <cell r="H14">
            <v>0</v>
          </cell>
          <cell r="I14">
            <v>0</v>
          </cell>
          <cell r="J14">
            <v>0</v>
          </cell>
          <cell r="K14">
            <v>28.94</v>
          </cell>
          <cell r="L14">
            <v>38.340000000000003</v>
          </cell>
          <cell r="M14">
            <v>37.21</v>
          </cell>
          <cell r="N14">
            <v>37.51</v>
          </cell>
          <cell r="O14">
            <v>38.21</v>
          </cell>
          <cell r="P14">
            <v>36.15</v>
          </cell>
          <cell r="Q14">
            <v>35.46</v>
          </cell>
          <cell r="R14">
            <v>33.96</v>
          </cell>
        </row>
        <row r="15">
          <cell r="F15">
            <v>0</v>
          </cell>
          <cell r="G15">
            <v>0</v>
          </cell>
          <cell r="H15">
            <v>0</v>
          </cell>
          <cell r="I15">
            <v>0</v>
          </cell>
          <cell r="J15">
            <v>0</v>
          </cell>
          <cell r="K15">
            <v>18.45</v>
          </cell>
          <cell r="L15">
            <v>22.9</v>
          </cell>
          <cell r="M15">
            <v>19.829999999999998</v>
          </cell>
          <cell r="N15">
            <v>22.03</v>
          </cell>
          <cell r="O15">
            <v>26.68</v>
          </cell>
          <cell r="P15">
            <v>29.41</v>
          </cell>
          <cell r="Q15">
            <v>27.28</v>
          </cell>
          <cell r="R15">
            <v>22.7</v>
          </cell>
        </row>
        <row r="16">
          <cell r="F16">
            <v>0</v>
          </cell>
          <cell r="G16">
            <v>0</v>
          </cell>
          <cell r="H16">
            <v>0</v>
          </cell>
          <cell r="I16">
            <v>0</v>
          </cell>
          <cell r="J16">
            <v>0</v>
          </cell>
          <cell r="K16">
            <v>0</v>
          </cell>
          <cell r="L16">
            <v>0</v>
          </cell>
          <cell r="M16">
            <v>0</v>
          </cell>
          <cell r="N16">
            <v>0</v>
          </cell>
          <cell r="O16">
            <v>0</v>
          </cell>
          <cell r="P16">
            <v>0</v>
          </cell>
          <cell r="Q16">
            <v>0</v>
          </cell>
          <cell r="R16">
            <v>0</v>
          </cell>
        </row>
        <row r="17">
          <cell r="F17">
            <v>0</v>
          </cell>
          <cell r="G17">
            <v>0</v>
          </cell>
          <cell r="H17">
            <v>0</v>
          </cell>
          <cell r="I17">
            <v>0</v>
          </cell>
          <cell r="J17">
            <v>0</v>
          </cell>
          <cell r="K17">
            <v>265.14999999999998</v>
          </cell>
          <cell r="L17">
            <v>288.97000000000003</v>
          </cell>
          <cell r="M17">
            <v>290.58999999999997</v>
          </cell>
          <cell r="N17">
            <v>290.83</v>
          </cell>
          <cell r="O17">
            <v>293.60000000000002</v>
          </cell>
          <cell r="P17">
            <v>294.97000000000003</v>
          </cell>
          <cell r="Q17">
            <v>304.10000000000002</v>
          </cell>
          <cell r="R17">
            <v>400.91</v>
          </cell>
        </row>
        <row r="18">
          <cell r="F18">
            <v>0</v>
          </cell>
          <cell r="G18">
            <v>0</v>
          </cell>
          <cell r="H18">
            <v>0</v>
          </cell>
          <cell r="I18">
            <v>0</v>
          </cell>
          <cell r="J18">
            <v>0</v>
          </cell>
          <cell r="K18">
            <v>0</v>
          </cell>
          <cell r="L18">
            <v>0</v>
          </cell>
          <cell r="M18">
            <v>0</v>
          </cell>
          <cell r="N18">
            <v>30.85</v>
          </cell>
          <cell r="O18">
            <v>33.96</v>
          </cell>
          <cell r="P18">
            <v>35.94</v>
          </cell>
          <cell r="Q18">
            <v>36.43</v>
          </cell>
          <cell r="R18">
            <v>38.159999999999997</v>
          </cell>
        </row>
      </sheetData>
      <sheetData sheetId="33"/>
      <sheetData sheetId="34">
        <row r="4">
          <cell r="D4">
            <v>2543</v>
          </cell>
          <cell r="E4">
            <v>2545</v>
          </cell>
          <cell r="F4">
            <v>2547</v>
          </cell>
          <cell r="G4">
            <v>2549</v>
          </cell>
          <cell r="H4">
            <v>2551</v>
          </cell>
          <cell r="I4">
            <v>2552</v>
          </cell>
          <cell r="J4">
            <v>2553</v>
          </cell>
          <cell r="K4">
            <v>2554</v>
          </cell>
          <cell r="L4">
            <v>2555</v>
          </cell>
          <cell r="M4">
            <v>2556</v>
          </cell>
        </row>
        <row r="6">
          <cell r="C6" t="str">
            <v>น้ำมันเบนซิน</v>
          </cell>
        </row>
        <row r="7">
          <cell r="C7" t="str">
            <v>น้ำมันดีเซล</v>
          </cell>
        </row>
        <row r="8">
          <cell r="C8" t="str">
            <v>น้ำมันไบโอดีเซล</v>
          </cell>
        </row>
        <row r="9">
          <cell r="C9" t="str">
            <v>แก๊สโซฮอล์</v>
          </cell>
        </row>
        <row r="10">
          <cell r="C10" t="str">
            <v>ก๊าซปิโตรเลียมเหลว</v>
          </cell>
        </row>
        <row r="11">
          <cell r="C11" t="str">
            <v>ไฟฟ้า</v>
          </cell>
        </row>
        <row r="12">
          <cell r="C12" t="str">
            <v>ก๊าซหุงต้ม</v>
          </cell>
        </row>
        <row r="13">
          <cell r="C13" t="str">
            <v>ถ่านไม้และฟืน</v>
          </cell>
        </row>
        <row r="33">
          <cell r="D33">
            <v>352.76</v>
          </cell>
          <cell r="E33">
            <v>381.01</v>
          </cell>
          <cell r="F33">
            <v>467.92</v>
          </cell>
          <cell r="G33">
            <v>684</v>
          </cell>
          <cell r="H33">
            <v>806</v>
          </cell>
          <cell r="I33">
            <v>643</v>
          </cell>
          <cell r="J33">
            <v>736</v>
          </cell>
          <cell r="K33">
            <v>792</v>
          </cell>
          <cell r="L33">
            <v>908</v>
          </cell>
          <cell r="M33">
            <v>461</v>
          </cell>
        </row>
        <row r="34">
          <cell r="D34">
            <v>152.87</v>
          </cell>
          <cell r="E34">
            <v>161.72</v>
          </cell>
          <cell r="F34">
            <v>169.16</v>
          </cell>
          <cell r="G34">
            <v>378</v>
          </cell>
          <cell r="H34">
            <v>537</v>
          </cell>
          <cell r="I34">
            <v>441</v>
          </cell>
          <cell r="J34">
            <v>574</v>
          </cell>
          <cell r="K34">
            <v>573</v>
          </cell>
          <cell r="L34">
            <v>665</v>
          </cell>
          <cell r="M34">
            <v>675</v>
          </cell>
        </row>
        <row r="35">
          <cell r="D35" t="str">
            <v xml:space="preserve">n/a </v>
          </cell>
          <cell r="E35" t="str">
            <v xml:space="preserve">n/a </v>
          </cell>
          <cell r="F35" t="str">
            <v xml:space="preserve">n/a </v>
          </cell>
          <cell r="G35" t="str">
            <v xml:space="preserve">n/a </v>
          </cell>
          <cell r="H35" t="str">
            <v xml:space="preserve">n/a </v>
          </cell>
          <cell r="I35">
            <v>31</v>
          </cell>
          <cell r="J35">
            <v>39</v>
          </cell>
          <cell r="K35">
            <v>42</v>
          </cell>
          <cell r="L35">
            <v>35</v>
          </cell>
          <cell r="M35">
            <v>5</v>
          </cell>
        </row>
        <row r="36">
          <cell r="D36" t="str">
            <v xml:space="preserve">n/a </v>
          </cell>
          <cell r="E36" t="str">
            <v xml:space="preserve">n/a </v>
          </cell>
          <cell r="F36" t="str">
            <v xml:space="preserve">n/a </v>
          </cell>
          <cell r="G36">
            <v>10</v>
          </cell>
          <cell r="H36">
            <v>58</v>
          </cell>
          <cell r="I36">
            <v>84</v>
          </cell>
          <cell r="J36">
            <v>160</v>
          </cell>
          <cell r="K36">
            <v>168</v>
          </cell>
          <cell r="L36">
            <v>149</v>
          </cell>
          <cell r="M36">
            <v>591</v>
          </cell>
        </row>
        <row r="37">
          <cell r="D37">
            <v>0.12</v>
          </cell>
          <cell r="E37">
            <v>0.57999999999999996</v>
          </cell>
          <cell r="F37">
            <v>0.47</v>
          </cell>
          <cell r="G37" t="str">
            <v>L</v>
          </cell>
          <cell r="H37">
            <v>3</v>
          </cell>
          <cell r="I37">
            <v>8</v>
          </cell>
          <cell r="J37">
            <v>10</v>
          </cell>
          <cell r="K37">
            <v>23</v>
          </cell>
          <cell r="L37">
            <v>22</v>
          </cell>
          <cell r="M37">
            <v>26</v>
          </cell>
        </row>
        <row r="38">
          <cell r="D38">
            <v>217.02</v>
          </cell>
          <cell r="E38">
            <v>250.71</v>
          </cell>
          <cell r="F38">
            <v>290.62</v>
          </cell>
          <cell r="G38">
            <v>342</v>
          </cell>
          <cell r="H38">
            <v>392</v>
          </cell>
          <cell r="I38">
            <v>405</v>
          </cell>
          <cell r="J38">
            <v>445</v>
          </cell>
          <cell r="K38">
            <v>433</v>
          </cell>
          <cell r="L38">
            <v>486</v>
          </cell>
          <cell r="M38">
            <v>537</v>
          </cell>
        </row>
        <row r="39">
          <cell r="D39">
            <v>56.88</v>
          </cell>
          <cell r="E39">
            <v>68.78</v>
          </cell>
          <cell r="F39">
            <v>87.15</v>
          </cell>
          <cell r="G39">
            <v>87</v>
          </cell>
          <cell r="H39">
            <v>87</v>
          </cell>
          <cell r="I39">
            <v>90</v>
          </cell>
          <cell r="J39">
            <v>80</v>
          </cell>
          <cell r="K39">
            <v>78</v>
          </cell>
          <cell r="L39">
            <v>89</v>
          </cell>
          <cell r="M39">
            <v>92</v>
          </cell>
        </row>
        <row r="40">
          <cell r="D40">
            <v>11.87</v>
          </cell>
          <cell r="E40">
            <v>10.46</v>
          </cell>
          <cell r="F40">
            <v>13.87</v>
          </cell>
          <cell r="G40">
            <v>13</v>
          </cell>
          <cell r="H40">
            <v>12</v>
          </cell>
          <cell r="I40">
            <v>13</v>
          </cell>
          <cell r="J40">
            <v>9</v>
          </cell>
          <cell r="K40">
            <v>5</v>
          </cell>
          <cell r="L40" t="str">
            <v>L</v>
          </cell>
          <cell r="M40">
            <v>5</v>
          </cell>
        </row>
      </sheetData>
      <sheetData sheetId="35"/>
      <sheetData sheetId="36"/>
      <sheetData sheetId="37"/>
      <sheetData sheetId="38"/>
      <sheetData sheetId="39"/>
      <sheetData sheetId="40"/>
      <sheetData sheetId="41"/>
      <sheetData sheetId="42"/>
      <sheetData sheetId="43"/>
      <sheetData sheetId="44"/>
      <sheetData sheetId="45">
        <row r="4">
          <cell r="D4">
            <v>1</v>
          </cell>
          <cell r="E4">
            <v>25</v>
          </cell>
          <cell r="F4">
            <v>298</v>
          </cell>
        </row>
      </sheetData>
      <sheetData sheetId="46"/>
      <sheetData sheetId="4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 val="GWP"/>
      <sheetName val="ค่าใช้จ่ายพลังงานครัวเรือน"/>
      <sheetName val="NCV"/>
      <sheetName val="Info"/>
      <sheetName val="ราคาเชื้อเพลิง"/>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xml:space="preserve">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3">
          <cell r="F3" t="str">
            <v>เทศบาลเมืองป่าตอง</v>
          </cell>
        </row>
        <row r="9">
          <cell r="F9">
            <v>16.399999999999999</v>
          </cell>
        </row>
      </sheetData>
      <sheetData sheetId="1">
        <row r="25">
          <cell r="G25">
            <v>757698.6053590792</v>
          </cell>
        </row>
      </sheetData>
      <sheetData sheetId="2"/>
      <sheetData sheetId="3"/>
      <sheetData sheetId="4"/>
      <sheetData sheetId="5">
        <row r="29">
          <cell r="O29">
            <v>12228.886979254754</v>
          </cell>
        </row>
      </sheetData>
      <sheetData sheetId="6">
        <row r="31">
          <cell r="J31">
            <v>847450.36153908004</v>
          </cell>
        </row>
      </sheetData>
      <sheetData sheetId="7">
        <row r="29">
          <cell r="G29">
            <v>110618.18593020002</v>
          </cell>
        </row>
      </sheetData>
      <sheetData sheetId="8">
        <row r="31">
          <cell r="G31">
            <v>0</v>
          </cell>
        </row>
      </sheetData>
      <sheetData sheetId="9">
        <row r="26">
          <cell r="G26">
            <v>3261077.3140540537</v>
          </cell>
        </row>
      </sheetData>
      <sheetData sheetId="10">
        <row r="27">
          <cell r="N27">
            <v>250742.55628324326</v>
          </cell>
        </row>
      </sheetData>
      <sheetData sheetId="11">
        <row r="19">
          <cell r="P19">
            <v>0</v>
          </cell>
        </row>
      </sheetData>
      <sheetData sheetId="12">
        <row r="20">
          <cell r="S20">
            <v>0</v>
          </cell>
        </row>
      </sheetData>
      <sheetData sheetId="13">
        <row r="27">
          <cell r="K27">
            <v>1014368.6381400001</v>
          </cell>
        </row>
      </sheetData>
      <sheetData sheetId="14">
        <row r="27">
          <cell r="U27">
            <v>0</v>
          </cell>
        </row>
      </sheetData>
      <sheetData sheetId="15">
        <row r="19">
          <cell r="K19">
            <v>0</v>
          </cell>
        </row>
      </sheetData>
      <sheetData sheetId="16">
        <row r="6">
          <cell r="E6">
            <v>0</v>
          </cell>
        </row>
      </sheetData>
      <sheetData sheetId="17">
        <row r="9">
          <cell r="C9">
            <v>2.0880000000000001</v>
          </cell>
        </row>
      </sheetData>
      <sheetData sheetId="18">
        <row r="15">
          <cell r="D15">
            <v>8.4119440000000019</v>
          </cell>
        </row>
      </sheetData>
      <sheetData sheetId="19">
        <row r="40">
          <cell r="C40">
            <v>0</v>
          </cell>
        </row>
      </sheetData>
      <sheetData sheetId="20">
        <row r="11">
          <cell r="M11">
            <v>0</v>
          </cell>
        </row>
      </sheetData>
      <sheetData sheetId="21">
        <row r="5">
          <cell r="G5">
            <v>0</v>
          </cell>
        </row>
      </sheetData>
      <sheetData sheetId="22">
        <row r="8">
          <cell r="E8">
            <v>0</v>
          </cell>
        </row>
      </sheetData>
      <sheetData sheetId="23"/>
      <sheetData sheetId="24"/>
      <sheetData sheetId="25"/>
      <sheetData sheetId="26">
        <row r="6">
          <cell r="BJ6">
            <v>10.994400000000001</v>
          </cell>
          <cell r="BK6">
            <v>0.2</v>
          </cell>
        </row>
        <row r="9">
          <cell r="BA9">
            <v>1.2585842375917136</v>
          </cell>
        </row>
        <row r="11">
          <cell r="BA11">
            <v>0.587339310876133</v>
          </cell>
        </row>
        <row r="13">
          <cell r="BA13">
            <v>0.65026852275571867</v>
          </cell>
        </row>
      </sheetData>
      <sheetData sheetId="27">
        <row r="2">
          <cell r="A2">
            <v>0</v>
          </cell>
          <cell r="C2" t="str">
            <v>ไฟฟ้า</v>
          </cell>
          <cell r="I2" t="str">
            <v>บาท</v>
          </cell>
          <cell r="M2" t="str">
            <v>เทศบาล</v>
          </cell>
          <cell r="O2" t="str">
            <v>พื้นที่ภายในเขตฯ</v>
          </cell>
          <cell r="Q2" t="str">
            <v>ฝังกลบถูกหลักฯ</v>
          </cell>
          <cell r="S2" t="str">
            <v>ค่าเฉลี่ยทั่วประเทศ</v>
          </cell>
          <cell r="Y2" t="str">
            <v>เทศบาล</v>
          </cell>
          <cell r="AC2">
            <v>2550</v>
          </cell>
        </row>
        <row r="3">
          <cell r="A3">
            <v>0.05</v>
          </cell>
          <cell r="C3" t="str">
            <v>ก๊าซหุงต้ม</v>
          </cell>
          <cell r="I3" t="str">
            <v>ลิตร</v>
          </cell>
          <cell r="M3" t="str">
            <v>แหล่งอื่น</v>
          </cell>
          <cell r="O3" t="str">
            <v>พื้นที่ภายนอกเขตฯ</v>
          </cell>
          <cell r="Q3" t="str">
            <v>เทกอง</v>
          </cell>
          <cell r="S3" t="str">
            <v>IPCC 2006</v>
          </cell>
          <cell r="Y3" t="str">
            <v>เอกชน</v>
          </cell>
          <cell r="AC3">
            <v>2551</v>
          </cell>
        </row>
        <row r="4">
          <cell r="A4">
            <v>0.1</v>
          </cell>
          <cell r="C4" t="str">
            <v>ถ่านไม้และฟืน</v>
          </cell>
          <cell r="I4" t="str">
            <v>กก.</v>
          </cell>
          <cell r="S4" t="str">
            <v>ค่าเฉลี่ยเทศบาล</v>
          </cell>
          <cell r="AC4">
            <v>2552</v>
          </cell>
        </row>
        <row r="5">
          <cell r="A5">
            <v>0.15</v>
          </cell>
          <cell r="I5" t="str">
            <v>ปอนด์</v>
          </cell>
          <cell r="S5" t="str">
            <v>งานวิจัย อบก.</v>
          </cell>
          <cell r="AC5">
            <v>2553</v>
          </cell>
        </row>
        <row r="6">
          <cell r="A6">
            <v>0.2</v>
          </cell>
          <cell r="I6" t="str">
            <v>MJ</v>
          </cell>
          <cell r="AC6">
            <v>2554</v>
          </cell>
        </row>
        <row r="7">
          <cell r="A7">
            <v>0.25</v>
          </cell>
          <cell r="I7" t="str">
            <v>kWh</v>
          </cell>
          <cell r="AC7">
            <v>2555</v>
          </cell>
        </row>
        <row r="8">
          <cell r="A8">
            <v>0.3</v>
          </cell>
          <cell r="I8" t="str">
            <v>GWh</v>
          </cell>
          <cell r="AC8">
            <v>2556</v>
          </cell>
        </row>
        <row r="9">
          <cell r="A9">
            <v>0.35</v>
          </cell>
          <cell r="AC9">
            <v>2557</v>
          </cell>
        </row>
        <row r="10">
          <cell r="A10">
            <v>0.4</v>
          </cell>
          <cell r="AC10">
            <v>2558</v>
          </cell>
        </row>
        <row r="11">
          <cell r="A11">
            <v>0.45</v>
          </cell>
          <cell r="AC11">
            <v>2559</v>
          </cell>
        </row>
        <row r="12">
          <cell r="A12">
            <v>0.5</v>
          </cell>
          <cell r="AC12">
            <v>2560</v>
          </cell>
        </row>
        <row r="13">
          <cell r="A13">
            <v>0.55000000000000004</v>
          </cell>
        </row>
        <row r="14">
          <cell r="A14">
            <v>0.6</v>
          </cell>
        </row>
        <row r="15">
          <cell r="A15">
            <v>0.65</v>
          </cell>
        </row>
        <row r="16">
          <cell r="A16">
            <v>0.7</v>
          </cell>
        </row>
        <row r="17">
          <cell r="A17">
            <v>0.75</v>
          </cell>
        </row>
        <row r="18">
          <cell r="A18">
            <v>0.8</v>
          </cell>
        </row>
        <row r="19">
          <cell r="A19">
            <v>0.85</v>
          </cell>
        </row>
        <row r="20">
          <cell r="A20">
            <v>0.9</v>
          </cell>
        </row>
        <row r="21">
          <cell r="A21">
            <v>0.95</v>
          </cell>
        </row>
        <row r="22">
          <cell r="A22">
            <v>1</v>
          </cell>
        </row>
      </sheetData>
      <sheetData sheetId="28"/>
      <sheetData sheetId="29"/>
      <sheetData sheetId="30"/>
      <sheetData sheetId="31"/>
      <sheetData sheetId="32"/>
      <sheetData sheetId="33"/>
      <sheetData sheetId="34">
        <row r="33">
          <cell r="C33" t="str">
            <v>น้ำมันเบนซิน</v>
          </cell>
        </row>
        <row r="34">
          <cell r="C34" t="str">
            <v>น้ำมันดีเซล</v>
          </cell>
        </row>
        <row r="35">
          <cell r="C35" t="str">
            <v>น้ำมันไบโอดีเซล</v>
          </cell>
        </row>
        <row r="36">
          <cell r="C36" t="str">
            <v>แก๊สโซฮอล์</v>
          </cell>
        </row>
        <row r="37">
          <cell r="C37" t="str">
            <v>ก๊าซปิโตรเลียมเหลว</v>
          </cell>
        </row>
        <row r="38">
          <cell r="C38" t="str">
            <v>ไฟฟ้า</v>
          </cell>
        </row>
        <row r="39">
          <cell r="C39" t="str">
            <v>ก๊าซหุงต้ม</v>
          </cell>
        </row>
        <row r="40">
          <cell r="C40" t="str">
            <v>ถ่านไม้และฟืน</v>
          </cell>
        </row>
      </sheetData>
      <sheetData sheetId="35"/>
      <sheetData sheetId="36"/>
      <sheetData sheetId="37">
        <row r="160">
          <cell r="D160">
            <v>9.4030177861463352E-2</v>
          </cell>
        </row>
        <row r="161">
          <cell r="D161">
            <v>1.6293124047656569E-2</v>
          </cell>
        </row>
        <row r="162">
          <cell r="D162">
            <v>1.4678788668094226E-2</v>
          </cell>
        </row>
        <row r="163">
          <cell r="D163">
            <v>6.6953111674342581E-3</v>
          </cell>
        </row>
        <row r="164">
          <cell r="D164">
            <v>2.9073819389791072E-2</v>
          </cell>
        </row>
        <row r="165">
          <cell r="D165">
            <v>6.5717289615703695E-2</v>
          </cell>
        </row>
        <row r="166">
          <cell r="D166">
            <v>4.1347952118606854E-2</v>
          </cell>
        </row>
        <row r="167">
          <cell r="D167">
            <v>0</v>
          </cell>
        </row>
        <row r="168">
          <cell r="D168">
            <v>2.5216468432454849E-2</v>
          </cell>
        </row>
        <row r="169">
          <cell r="D169">
            <v>0.21522778271753296</v>
          </cell>
        </row>
        <row r="170">
          <cell r="D170">
            <v>0</v>
          </cell>
        </row>
        <row r="171">
          <cell r="D171">
            <v>0.26783108615553219</v>
          </cell>
        </row>
        <row r="172">
          <cell r="D172">
            <v>0.10942191575034008</v>
          </cell>
        </row>
        <row r="173">
          <cell r="D173">
            <v>0.26617211713768929</v>
          </cell>
        </row>
        <row r="174">
          <cell r="D174">
            <v>7.1313493072611089E-2</v>
          </cell>
        </row>
        <row r="175">
          <cell r="D175">
            <v>7.1066344186135874E-2</v>
          </cell>
        </row>
        <row r="176">
          <cell r="D176">
            <v>2.3397984447259559E-2</v>
          </cell>
        </row>
        <row r="177">
          <cell r="D177">
            <v>6.5269252108272448E-3</v>
          </cell>
        </row>
        <row r="178">
          <cell r="D178">
            <v>1.2849464098034299E-2</v>
          </cell>
        </row>
        <row r="179">
          <cell r="D179">
            <v>8.0739103802153107E-3</v>
          </cell>
        </row>
        <row r="180">
          <cell r="D180">
            <v>7.6385915261141558E-3</v>
          </cell>
        </row>
        <row r="181">
          <cell r="D181">
            <v>7.4906236427455218E-3</v>
          </cell>
        </row>
        <row r="182">
          <cell r="D182">
            <v>1.8474277536130047E-2</v>
          </cell>
        </row>
        <row r="183">
          <cell r="D183">
            <v>6.6018894423745941E-3</v>
          </cell>
        </row>
        <row r="184">
          <cell r="D184">
            <v>1.3363858048868355E-2</v>
          </cell>
        </row>
        <row r="185">
          <cell r="D185">
            <v>3.2200567478982235E-2</v>
          </cell>
        </row>
        <row r="186">
          <cell r="D186">
            <v>6.1421544885348386E-2</v>
          </cell>
        </row>
        <row r="187">
          <cell r="D187">
            <v>3.6694284056947965E-3</v>
          </cell>
        </row>
        <row r="188">
          <cell r="D188">
            <v>0.22477868245626453</v>
          </cell>
        </row>
        <row r="189">
          <cell r="D189">
            <v>7.6617925469957158E-3</v>
          </cell>
        </row>
        <row r="190">
          <cell r="D190">
            <v>7.4170964343691873E-2</v>
          </cell>
        </row>
        <row r="191">
          <cell r="D191">
            <v>0.50384258558832951</v>
          </cell>
        </row>
        <row r="192">
          <cell r="D192">
            <v>1.1932217992232061E-2</v>
          </cell>
        </row>
        <row r="193">
          <cell r="D193">
            <v>0.12649830319862201</v>
          </cell>
        </row>
        <row r="194">
          <cell r="D194">
            <v>0</v>
          </cell>
        </row>
        <row r="195">
          <cell r="D195">
            <v>2.9813809850022788E-2</v>
          </cell>
        </row>
        <row r="196">
          <cell r="D196">
            <v>2.5825438733945272E-2</v>
          </cell>
        </row>
        <row r="197">
          <cell r="D197">
            <v>2.8948512928174625E-3</v>
          </cell>
        </row>
        <row r="198">
          <cell r="D198">
            <v>1.2012203475200879E-2</v>
          </cell>
        </row>
        <row r="199">
          <cell r="D199">
            <v>0</v>
          </cell>
        </row>
        <row r="200">
          <cell r="D200">
            <v>6.133504058732122E-2</v>
          </cell>
        </row>
        <row r="201">
          <cell r="D201">
            <v>4.9760388086373383E-2</v>
          </cell>
        </row>
        <row r="202">
          <cell r="D202">
            <v>0.1010240187361794</v>
          </cell>
        </row>
        <row r="203">
          <cell r="D203">
            <v>1.7863258750575688E-2</v>
          </cell>
        </row>
        <row r="204">
          <cell r="D204">
            <v>7.9159402715819102E-2</v>
          </cell>
        </row>
        <row r="205">
          <cell r="D205">
            <v>0.24155829937670045</v>
          </cell>
        </row>
        <row r="206">
          <cell r="D206">
            <v>2.1481853144953739E-2</v>
          </cell>
        </row>
        <row r="207">
          <cell r="D207">
            <v>2.0711708390899999E-2</v>
          </cell>
        </row>
        <row r="208">
          <cell r="D208">
            <v>4.1879307704453507E-2</v>
          </cell>
        </row>
        <row r="209">
          <cell r="D209">
            <v>0</v>
          </cell>
        </row>
        <row r="210">
          <cell r="D210">
            <v>6.1437389702287362E-2</v>
          </cell>
        </row>
        <row r="211">
          <cell r="D211">
            <v>6.7840907700443973E-2</v>
          </cell>
        </row>
        <row r="212">
          <cell r="D212">
            <v>0.18154701348976923</v>
          </cell>
        </row>
        <row r="213">
          <cell r="D213">
            <v>2.4156730961168497E-2</v>
          </cell>
        </row>
        <row r="214">
          <cell r="D214">
            <v>4.4208853317498152E-2</v>
          </cell>
        </row>
        <row r="215">
          <cell r="D215">
            <v>3.8480418934300063E-2</v>
          </cell>
        </row>
        <row r="216">
          <cell r="D216">
            <v>4.5303529395299205E-2</v>
          </cell>
        </row>
        <row r="217">
          <cell r="D217">
            <v>4.1438322123501627E-3</v>
          </cell>
        </row>
        <row r="218">
          <cell r="D218">
            <v>0.32297507330334108</v>
          </cell>
        </row>
        <row r="219">
          <cell r="D219">
            <v>1.6681574451917449E-2</v>
          </cell>
        </row>
        <row r="220">
          <cell r="D220">
            <v>0</v>
          </cell>
        </row>
        <row r="221">
          <cell r="D221">
            <v>0.98735573584450143</v>
          </cell>
        </row>
        <row r="222">
          <cell r="D222">
            <v>0.24058863124627236</v>
          </cell>
        </row>
        <row r="223">
          <cell r="D223">
            <v>4.2673453658190561E-3</v>
          </cell>
        </row>
        <row r="224">
          <cell r="D224">
            <v>0.2037516898527833</v>
          </cell>
        </row>
        <row r="225">
          <cell r="D225">
            <v>6.8866194950189932E-2</v>
          </cell>
        </row>
        <row r="226">
          <cell r="D226">
            <v>0</v>
          </cell>
        </row>
        <row r="227">
          <cell r="D227">
            <v>2.3126182595528438E-2</v>
          </cell>
        </row>
        <row r="228">
          <cell r="D228">
            <v>2.5326169586748835E-3</v>
          </cell>
        </row>
        <row r="229">
          <cell r="D229">
            <v>3.5921673152831059E-3</v>
          </cell>
        </row>
        <row r="230">
          <cell r="D230">
            <v>3.1225682322573384E-3</v>
          </cell>
        </row>
        <row r="231">
          <cell r="D231">
            <v>1.8916368722859053E-2</v>
          </cell>
        </row>
      </sheetData>
      <sheetData sheetId="38">
        <row r="161">
          <cell r="D161">
            <v>0.10781702710147473</v>
          </cell>
          <cell r="E161">
            <v>48.078930607364846</v>
          </cell>
          <cell r="F161">
            <v>0</v>
          </cell>
        </row>
        <row r="162">
          <cell r="D162">
            <v>1.3759240534547421E-2</v>
          </cell>
          <cell r="E162">
            <v>6.1356688146106242</v>
          </cell>
          <cell r="F162">
            <v>0</v>
          </cell>
        </row>
        <row r="163">
          <cell r="D163">
            <v>1.4120209484976432E-2</v>
          </cell>
          <cell r="E163">
            <v>6.2966359789413167</v>
          </cell>
          <cell r="F163">
            <v>0</v>
          </cell>
        </row>
        <row r="164">
          <cell r="D164">
            <v>8.2961377796096864E-4</v>
          </cell>
          <cell r="E164">
            <v>0.36995031614031243</v>
          </cell>
          <cell r="F164">
            <v>0</v>
          </cell>
        </row>
        <row r="165">
          <cell r="D165">
            <v>0.27560832361807502</v>
          </cell>
          <cell r="E165">
            <v>122.90223374063274</v>
          </cell>
          <cell r="F165">
            <v>0</v>
          </cell>
        </row>
        <row r="166">
          <cell r="D166">
            <v>1.7237961364425385E-2</v>
          </cell>
          <cell r="E166">
            <v>7.6869374952493779</v>
          </cell>
          <cell r="F166">
            <v>0</v>
          </cell>
        </row>
        <row r="167">
          <cell r="D167">
            <v>6.4750233124234557E-2</v>
          </cell>
          <cell r="E167">
            <v>28.874121730891133</v>
          </cell>
          <cell r="F167">
            <v>0</v>
          </cell>
        </row>
        <row r="168">
          <cell r="D168">
            <v>5.8576921748646794E-2</v>
          </cell>
          <cell r="E168">
            <v>26.121252196052332</v>
          </cell>
          <cell r="F168">
            <v>0</v>
          </cell>
        </row>
        <row r="169">
          <cell r="D169">
            <v>0</v>
          </cell>
          <cell r="E169">
            <v>0</v>
          </cell>
          <cell r="F169">
            <v>0</v>
          </cell>
        </row>
        <row r="170">
          <cell r="D170">
            <v>5.3559059715992223E-2</v>
          </cell>
          <cell r="E170">
            <v>23.88363308382927</v>
          </cell>
          <cell r="F170">
            <v>0</v>
          </cell>
        </row>
        <row r="171">
          <cell r="D171">
            <v>6.5554067750972222E-2</v>
          </cell>
          <cell r="E171">
            <v>29.232576330110813</v>
          </cell>
          <cell r="F171">
            <v>0</v>
          </cell>
        </row>
        <row r="172">
          <cell r="D172">
            <v>0.36190387897074761</v>
          </cell>
          <cell r="E172">
            <v>161.3840777412118</v>
          </cell>
          <cell r="F172">
            <v>0</v>
          </cell>
        </row>
        <row r="173">
          <cell r="D173">
            <v>0.10300069277143901</v>
          </cell>
          <cell r="E173">
            <v>45.931178900042099</v>
          </cell>
          <cell r="F173">
            <v>0</v>
          </cell>
        </row>
        <row r="174">
          <cell r="D174">
            <v>0.13634382355779273</v>
          </cell>
          <cell r="E174">
            <v>60.79990710009335</v>
          </cell>
          <cell r="F174">
            <v>0</v>
          </cell>
        </row>
        <row r="175">
          <cell r="D175">
            <v>0.50706001920148303</v>
          </cell>
          <cell r="E175">
            <v>226.11366805738737</v>
          </cell>
          <cell r="F175">
            <v>0</v>
          </cell>
        </row>
        <row r="176">
          <cell r="D176">
            <v>8.7203636138495685E-3</v>
          </cell>
          <cell r="E176">
            <v>3.8886785170459217</v>
          </cell>
          <cell r="F176">
            <v>0</v>
          </cell>
        </row>
        <row r="177">
          <cell r="D177">
            <v>5.55189545145926E-3</v>
          </cell>
          <cell r="E177">
            <v>2.4757610493083537</v>
          </cell>
          <cell r="F177">
            <v>0</v>
          </cell>
        </row>
        <row r="178">
          <cell r="D178">
            <v>2.225390491897127E-3</v>
          </cell>
          <cell r="E178">
            <v>0.99237010990398589</v>
          </cell>
          <cell r="F178">
            <v>0</v>
          </cell>
        </row>
        <row r="179">
          <cell r="D179">
            <v>3.3144908031164555E-3</v>
          </cell>
          <cell r="E179">
            <v>1.478033457292437</v>
          </cell>
          <cell r="F179">
            <v>0</v>
          </cell>
        </row>
        <row r="180">
          <cell r="D180">
            <v>2.258838149447908E-3</v>
          </cell>
          <cell r="E180">
            <v>1.0072854498052555</v>
          </cell>
          <cell r="F180">
            <v>0</v>
          </cell>
        </row>
        <row r="181">
          <cell r="D181">
            <v>0</v>
          </cell>
          <cell r="E181">
            <v>0</v>
          </cell>
          <cell r="F181">
            <v>0</v>
          </cell>
        </row>
        <row r="182">
          <cell r="D182">
            <v>1.9452197462968744E-2</v>
          </cell>
          <cell r="E182">
            <v>8.6743335178645484</v>
          </cell>
          <cell r="F182">
            <v>0</v>
          </cell>
        </row>
        <row r="183">
          <cell r="D183">
            <v>0.10456790801161236</v>
          </cell>
          <cell r="E183">
            <v>46.630048408920146</v>
          </cell>
          <cell r="F183">
            <v>0</v>
          </cell>
        </row>
        <row r="184">
          <cell r="D184">
            <v>1.7494492237871875E-2</v>
          </cell>
          <cell r="E184">
            <v>7.8013325068227557</v>
          </cell>
          <cell r="F184">
            <v>0</v>
          </cell>
        </row>
        <row r="185">
          <cell r="D185">
            <v>0</v>
          </cell>
          <cell r="E185">
            <v>0</v>
          </cell>
          <cell r="F185">
            <v>0</v>
          </cell>
        </row>
        <row r="186">
          <cell r="D186">
            <v>2.1256270987930241E-4</v>
          </cell>
          <cell r="E186">
            <v>9.4788254255812443E-2</v>
          </cell>
          <cell r="F186">
            <v>0</v>
          </cell>
        </row>
        <row r="187">
          <cell r="D187">
            <v>3.9100013067445774E-3</v>
          </cell>
          <cell r="E187">
            <v>1.7435899185455004</v>
          </cell>
          <cell r="F187">
            <v>0</v>
          </cell>
        </row>
        <row r="188">
          <cell r="D188">
            <v>3.6485451907637169E-4</v>
          </cell>
          <cell r="E188">
            <v>0.16269985897446815</v>
          </cell>
          <cell r="F188">
            <v>0</v>
          </cell>
        </row>
        <row r="189">
          <cell r="D189">
            <v>2.8921543603462548E-2</v>
          </cell>
          <cell r="E189">
            <v>12.897006394546867</v>
          </cell>
          <cell r="F189">
            <v>0</v>
          </cell>
        </row>
        <row r="190">
          <cell r="D190">
            <v>1.0972750908893394E-2</v>
          </cell>
          <cell r="E190">
            <v>4.8930873323381503</v>
          </cell>
          <cell r="F190">
            <v>0</v>
          </cell>
        </row>
        <row r="191">
          <cell r="D191">
            <v>1.4421400862096097E-2</v>
          </cell>
          <cell r="E191">
            <v>6.4309464835932761</v>
          </cell>
          <cell r="F191">
            <v>0</v>
          </cell>
        </row>
        <row r="192">
          <cell r="D192">
            <v>8.8912100886206515E-4</v>
          </cell>
          <cell r="E192">
            <v>0.39648642181903326</v>
          </cell>
          <cell r="F192">
            <v>0</v>
          </cell>
        </row>
        <row r="193">
          <cell r="D193">
            <v>0</v>
          </cell>
          <cell r="E193">
            <v>0</v>
          </cell>
          <cell r="F193">
            <v>0</v>
          </cell>
        </row>
        <row r="194">
          <cell r="D194">
            <v>1.2210356012879067E-3</v>
          </cell>
          <cell r="E194">
            <v>0.54449735372679642</v>
          </cell>
          <cell r="F194">
            <v>0</v>
          </cell>
        </row>
        <row r="195">
          <cell r="D195">
            <v>0</v>
          </cell>
          <cell r="E195">
            <v>0</v>
          </cell>
          <cell r="F195">
            <v>0</v>
          </cell>
        </row>
        <row r="196">
          <cell r="D196">
            <v>8.6069782951672127E-2</v>
          </cell>
          <cell r="E196">
            <v>38.38116513850526</v>
          </cell>
          <cell r="F196">
            <v>0</v>
          </cell>
        </row>
        <row r="197">
          <cell r="D197">
            <v>1.5023233712489301E-4</v>
          </cell>
          <cell r="E197">
            <v>6.6993222738481295E-2</v>
          </cell>
          <cell r="F197">
            <v>0</v>
          </cell>
        </row>
        <row r="198">
          <cell r="D198">
            <v>3.5892787669080922E-3</v>
          </cell>
          <cell r="E198">
            <v>1.6005698673387163</v>
          </cell>
          <cell r="F198">
            <v>0</v>
          </cell>
        </row>
        <row r="199">
          <cell r="D199">
            <v>3.4380434274843588E-4</v>
          </cell>
          <cell r="E199">
            <v>0.1533129375006356</v>
          </cell>
          <cell r="F199">
            <v>0</v>
          </cell>
        </row>
        <row r="200">
          <cell r="D200">
            <v>0</v>
          </cell>
          <cell r="E200">
            <v>0</v>
          </cell>
          <cell r="F200">
            <v>0</v>
          </cell>
        </row>
        <row r="201">
          <cell r="D201">
            <v>4.8334946173828278E-3</v>
          </cell>
          <cell r="E201">
            <v>2.1554040075831562</v>
          </cell>
          <cell r="F201">
            <v>0</v>
          </cell>
        </row>
        <row r="202">
          <cell r="D202">
            <v>8.9167753977606656E-6</v>
          </cell>
          <cell r="E202">
            <v>3.9762645763447247E-3</v>
          </cell>
          <cell r="F202">
            <v>0</v>
          </cell>
        </row>
        <row r="203">
          <cell r="D203">
            <v>3.6012347231431763E-6</v>
          </cell>
          <cell r="E203">
            <v>1.6059013961855497E-3</v>
          </cell>
          <cell r="F203">
            <v>0</v>
          </cell>
        </row>
        <row r="204">
          <cell r="D204">
            <v>1.3653408228727515E-3</v>
          </cell>
          <cell r="E204">
            <v>0.608847493230534</v>
          </cell>
          <cell r="F204">
            <v>0</v>
          </cell>
        </row>
        <row r="205">
          <cell r="D205">
            <v>4.8938796510430917E-4</v>
          </cell>
          <cell r="E205">
            <v>0.21823315525278233</v>
          </cell>
          <cell r="F205">
            <v>0</v>
          </cell>
        </row>
        <row r="206">
          <cell r="D206">
            <v>3.3306751369706184E-3</v>
          </cell>
          <cell r="E206">
            <v>1.4852505498539703</v>
          </cell>
          <cell r="F206">
            <v>0</v>
          </cell>
        </row>
        <row r="207">
          <cell r="D207">
            <v>6.5139688501478297E-5</v>
          </cell>
          <cell r="E207">
            <v>2.9047791869648936E-2</v>
          </cell>
          <cell r="F207">
            <v>0</v>
          </cell>
        </row>
        <row r="208">
          <cell r="D208">
            <v>2.8891553190422106E-3</v>
          </cell>
          <cell r="E208">
            <v>1.2883632746374389</v>
          </cell>
          <cell r="F208">
            <v>0</v>
          </cell>
        </row>
        <row r="209">
          <cell r="D209">
            <v>4.7545262210906261E-3</v>
          </cell>
          <cell r="E209">
            <v>2.1201895693114143</v>
          </cell>
          <cell r="F209">
            <v>0</v>
          </cell>
        </row>
        <row r="210">
          <cell r="D210">
            <v>0</v>
          </cell>
          <cell r="E210">
            <v>0</v>
          </cell>
          <cell r="F210">
            <v>0</v>
          </cell>
        </row>
        <row r="211">
          <cell r="D211">
            <v>1.3372496372273741E-2</v>
          </cell>
          <cell r="E211">
            <v>5.9632076900494795</v>
          </cell>
          <cell r="F211">
            <v>0</v>
          </cell>
        </row>
        <row r="212">
          <cell r="D212">
            <v>1.832209905077797E-2</v>
          </cell>
          <cell r="E212">
            <v>8.1703878554778893</v>
          </cell>
          <cell r="F212">
            <v>0</v>
          </cell>
        </row>
        <row r="213">
          <cell r="D213">
            <v>2.3188486389957894E-2</v>
          </cell>
          <cell r="E213">
            <v>10.340459740030806</v>
          </cell>
          <cell r="F213">
            <v>0</v>
          </cell>
        </row>
        <row r="214">
          <cell r="D214">
            <v>8.7592566547636732E-4</v>
          </cell>
          <cell r="E214">
            <v>0.39060221209783397</v>
          </cell>
          <cell r="F214">
            <v>0</v>
          </cell>
        </row>
        <row r="215">
          <cell r="D215">
            <v>1.1071985996095924E-3</v>
          </cell>
          <cell r="E215">
            <v>0.49373393118231318</v>
          </cell>
          <cell r="F215">
            <v>0</v>
          </cell>
        </row>
        <row r="216">
          <cell r="D216">
            <v>5.2654394373538894E-3</v>
          </cell>
          <cell r="E216">
            <v>2.348021496526286</v>
          </cell>
          <cell r="F216">
            <v>0</v>
          </cell>
        </row>
        <row r="217">
          <cell r="D217">
            <v>0.10122918626367687</v>
          </cell>
          <cell r="E217">
            <v>45.141209627590996</v>
          </cell>
          <cell r="F217">
            <v>0</v>
          </cell>
        </row>
        <row r="218">
          <cell r="D218">
            <v>8.5790752662562861E-4</v>
          </cell>
          <cell r="E218">
            <v>0.38256736945036235</v>
          </cell>
          <cell r="F218">
            <v>0</v>
          </cell>
        </row>
        <row r="219">
          <cell r="D219">
            <v>4.3150098485643914E-3</v>
          </cell>
          <cell r="E219">
            <v>1.9241956920586023</v>
          </cell>
          <cell r="F219">
            <v>0</v>
          </cell>
        </row>
        <row r="220">
          <cell r="D220">
            <v>4.3655179852128924E-3</v>
          </cell>
          <cell r="E220">
            <v>1.9467188246501272</v>
          </cell>
          <cell r="F220">
            <v>0</v>
          </cell>
        </row>
        <row r="221">
          <cell r="D221">
            <v>6.1448263457884679E-4</v>
          </cell>
          <cell r="E221">
            <v>0.27401671833838759</v>
          </cell>
          <cell r="F221">
            <v>0</v>
          </cell>
        </row>
        <row r="222">
          <cell r="D222">
            <v>1.909191186277488E-4</v>
          </cell>
          <cell r="E222">
            <v>8.5136710804347884E-2</v>
          </cell>
          <cell r="F222">
            <v>0</v>
          </cell>
        </row>
        <row r="223">
          <cell r="D223">
            <v>5.8585592793743854E-2</v>
          </cell>
          <cell r="E223">
            <v>26.125118881924884</v>
          </cell>
          <cell r="F223">
            <v>0</v>
          </cell>
        </row>
        <row r="224">
          <cell r="D224">
            <v>1.8743582802098315E-3</v>
          </cell>
          <cell r="E224">
            <v>0.83583404319553511</v>
          </cell>
          <cell r="F224">
            <v>0</v>
          </cell>
        </row>
        <row r="225">
          <cell r="D225">
            <v>5.3038990730533951E-4</v>
          </cell>
          <cell r="E225">
            <v>0.23651718317348497</v>
          </cell>
          <cell r="F225">
            <v>0</v>
          </cell>
        </row>
        <row r="226">
          <cell r="D226">
            <v>2.2890308917105124E-4</v>
          </cell>
          <cell r="E226">
            <v>0.10207493228048657</v>
          </cell>
          <cell r="F226">
            <v>0</v>
          </cell>
        </row>
        <row r="227">
          <cell r="D227">
            <v>0</v>
          </cell>
          <cell r="E227">
            <v>0</v>
          </cell>
          <cell r="F227">
            <v>0</v>
          </cell>
        </row>
        <row r="228">
          <cell r="D228">
            <v>3.2744397059179418E-4</v>
          </cell>
          <cell r="E228">
            <v>0.14601734404219679</v>
          </cell>
          <cell r="F228">
            <v>0</v>
          </cell>
        </row>
        <row r="229">
          <cell r="D229">
            <v>4.0152280990180141E-4</v>
          </cell>
          <cell r="E229">
            <v>0.17905137837248722</v>
          </cell>
          <cell r="F229">
            <v>0</v>
          </cell>
        </row>
        <row r="230">
          <cell r="D230">
            <v>1.5995811219183965E-5</v>
          </cell>
          <cell r="E230">
            <v>7.1330245165434972E-3</v>
          </cell>
          <cell r="F230">
            <v>0</v>
          </cell>
        </row>
        <row r="231">
          <cell r="D231">
            <v>3.5038882846433629E-6</v>
          </cell>
          <cell r="E231">
            <v>1.5624916232829667E-3</v>
          </cell>
          <cell r="F231">
            <v>0</v>
          </cell>
        </row>
        <row r="232">
          <cell r="D232">
            <v>4.1426721580346127E-4</v>
          </cell>
          <cell r="E232">
            <v>0.18473450119130971</v>
          </cell>
          <cell r="F232">
            <v>0</v>
          </cell>
        </row>
      </sheetData>
      <sheetData sheetId="39"/>
      <sheetData sheetId="40">
        <row r="142">
          <cell r="D142">
            <v>6.4299751277452641E-3</v>
          </cell>
        </row>
        <row r="143">
          <cell r="D143">
            <v>1.0910470851712435E-2</v>
          </cell>
        </row>
        <row r="144">
          <cell r="D144">
            <v>4.0875258418535182E-3</v>
          </cell>
        </row>
        <row r="145">
          <cell r="D145">
            <v>2.5366013975158183E-2</v>
          </cell>
        </row>
        <row r="146">
          <cell r="D146">
            <v>7.3669584516132241E-3</v>
          </cell>
        </row>
        <row r="147">
          <cell r="D147">
            <v>4.2151553669447702E-4</v>
          </cell>
        </row>
        <row r="148">
          <cell r="D148">
            <v>7.4852233395438561E-2</v>
          </cell>
        </row>
        <row r="149">
          <cell r="D149">
            <v>5.0633076003747834E-2</v>
          </cell>
        </row>
        <row r="150">
          <cell r="D150">
            <v>9.5296264057094559E-4</v>
          </cell>
        </row>
        <row r="151">
          <cell r="D151">
            <v>5.5047065065924744E-3</v>
          </cell>
        </row>
        <row r="152">
          <cell r="D152">
            <v>1.341372249405614E-3</v>
          </cell>
        </row>
        <row r="153">
          <cell r="D153">
            <v>7.1752268560731176E-3</v>
          </cell>
        </row>
        <row r="154">
          <cell r="D154">
            <v>0.11573069318134722</v>
          </cell>
        </row>
        <row r="155">
          <cell r="D155">
            <v>9.6123184939195631E-3</v>
          </cell>
        </row>
        <row r="156">
          <cell r="D156">
            <v>4.2896171366818212E-3</v>
          </cell>
        </row>
        <row r="157">
          <cell r="D157">
            <v>4.0376975574899143E-3</v>
          </cell>
        </row>
        <row r="158">
          <cell r="D158">
            <v>1.2962546993694358E-2</v>
          </cell>
        </row>
        <row r="159">
          <cell r="D159">
            <v>3.0329844441864284E-3</v>
          </cell>
        </row>
        <row r="160">
          <cell r="D160">
            <v>5.5514233965637408E-3</v>
          </cell>
        </row>
        <row r="161">
          <cell r="D161">
            <v>4.02834168426692E-4</v>
          </cell>
        </row>
        <row r="162">
          <cell r="D162">
            <v>1.1587619063913571E-2</v>
          </cell>
        </row>
        <row r="163">
          <cell r="D163">
            <v>4.0860858995336018E-3</v>
          </cell>
        </row>
        <row r="164">
          <cell r="D164">
            <v>4.4509909978668154E-3</v>
          </cell>
        </row>
        <row r="165">
          <cell r="D165">
            <v>6.2487491603696696E-4</v>
          </cell>
        </row>
        <row r="166">
          <cell r="D166">
            <v>3.0525766928870209E-2</v>
          </cell>
        </row>
        <row r="167">
          <cell r="D167">
            <v>3.5614337565964297E-3</v>
          </cell>
        </row>
        <row r="168">
          <cell r="D168">
            <v>1.8933748830419132E-3</v>
          </cell>
        </row>
        <row r="169">
          <cell r="D169">
            <v>5.6801378540188938E-3</v>
          </cell>
        </row>
        <row r="170">
          <cell r="D170">
            <v>0.83613020971705687</v>
          </cell>
        </row>
        <row r="171">
          <cell r="D171">
            <v>8.3682950050079072E-2</v>
          </cell>
        </row>
        <row r="172">
          <cell r="D172">
            <v>1.1006325166271475E-2</v>
          </cell>
        </row>
        <row r="173">
          <cell r="D173">
            <v>0.3849472995275649</v>
          </cell>
        </row>
        <row r="174">
          <cell r="D174">
            <v>3.7223471282729716E-2</v>
          </cell>
        </row>
        <row r="175">
          <cell r="D175">
            <v>2.2610442746539606E-2</v>
          </cell>
        </row>
        <row r="176">
          <cell r="D176">
            <v>4.7089380129341843E-2</v>
          </cell>
        </row>
        <row r="177">
          <cell r="D177">
            <v>5.1251828065649055E-2</v>
          </cell>
        </row>
        <row r="178">
          <cell r="D178">
            <v>2.1530823434212014E-3</v>
          </cell>
        </row>
        <row r="179">
          <cell r="D179">
            <v>3.7693950937134173E-3</v>
          </cell>
        </row>
        <row r="180">
          <cell r="D180">
            <v>4.392919458495146E-2</v>
          </cell>
        </row>
        <row r="181">
          <cell r="D181">
            <v>6.5082488311394421E-4</v>
          </cell>
        </row>
        <row r="182">
          <cell r="D182">
            <v>5.4375886520916308E-3</v>
          </cell>
        </row>
        <row r="183">
          <cell r="D183">
            <v>1.1634707363847203E-3</v>
          </cell>
        </row>
        <row r="184">
          <cell r="D184">
            <v>2.3312120945101333E-3</v>
          </cell>
        </row>
        <row r="185">
          <cell r="D185">
            <v>1.5755648797560466E-2</v>
          </cell>
        </row>
        <row r="186">
          <cell r="D186">
            <v>2.9487856551007663E-2</v>
          </cell>
        </row>
        <row r="187">
          <cell r="D187">
            <v>6.2380779046503103E-3</v>
          </cell>
        </row>
        <row r="188">
          <cell r="D188">
            <v>0</v>
          </cell>
        </row>
        <row r="189">
          <cell r="D189">
            <v>2.1617051738499066E-2</v>
          </cell>
        </row>
        <row r="190">
          <cell r="D190">
            <v>7.3194000365662648E-2</v>
          </cell>
        </row>
        <row r="191">
          <cell r="D191">
            <v>5.8262678491796983E-3</v>
          </cell>
        </row>
        <row r="192">
          <cell r="D192">
            <v>9.1346756391267561E-2</v>
          </cell>
        </row>
        <row r="193">
          <cell r="D193">
            <v>5.3258737592677255E-2</v>
          </cell>
        </row>
        <row r="194">
          <cell r="D194">
            <v>1.1572746682307474E-3</v>
          </cell>
        </row>
        <row r="195">
          <cell r="D195">
            <v>2.5438373704903643E-3</v>
          </cell>
        </row>
        <row r="196">
          <cell r="D196">
            <v>0</v>
          </cell>
        </row>
        <row r="197">
          <cell r="D197">
            <v>0</v>
          </cell>
        </row>
        <row r="198">
          <cell r="D198">
            <v>2.3994846900180465E-2</v>
          </cell>
        </row>
        <row r="199">
          <cell r="D199">
            <v>4.016483958610876E-3</v>
          </cell>
        </row>
        <row r="200">
          <cell r="D200">
            <v>2.2070519338300741E-4</v>
          </cell>
        </row>
        <row r="201">
          <cell r="D201">
            <v>1.9496343793757379E-3</v>
          </cell>
        </row>
        <row r="202">
          <cell r="D202">
            <v>8.1172760376184894E-4</v>
          </cell>
        </row>
        <row r="203">
          <cell r="D203">
            <v>1.6291521223508005E-3</v>
          </cell>
        </row>
        <row r="204">
          <cell r="D204">
            <v>3.2819979325892632E-3</v>
          </cell>
        </row>
      </sheetData>
      <sheetData sheetId="41">
        <row r="142">
          <cell r="I142">
            <v>14.659085143058959</v>
          </cell>
          <cell r="J142">
            <v>1.8840235089842683</v>
          </cell>
          <cell r="K142">
            <v>5.6878684492413886E-2</v>
          </cell>
          <cell r="L142">
            <v>0</v>
          </cell>
          <cell r="M142">
            <v>0</v>
          </cell>
          <cell r="N142">
            <v>2.5967087183999722E-2</v>
          </cell>
          <cell r="P142">
            <v>1.4859676625429278E-2</v>
          </cell>
          <cell r="Q142">
            <v>6.1829046875797689</v>
          </cell>
          <cell r="S142">
            <v>0</v>
          </cell>
          <cell r="T142">
            <v>2.0409940152084305</v>
          </cell>
        </row>
        <row r="143">
          <cell r="I143">
            <v>201.5016438025547</v>
          </cell>
          <cell r="J143">
            <v>25.897512042403473</v>
          </cell>
          <cell r="K143">
            <v>0.78184609139644023</v>
          </cell>
          <cell r="L143">
            <v>0</v>
          </cell>
          <cell r="M143">
            <v>0</v>
          </cell>
          <cell r="N143">
            <v>0.35693978862096504</v>
          </cell>
          <cell r="P143">
            <v>0.20425894502810552</v>
          </cell>
          <cell r="Q143">
            <v>84.989304984817437</v>
          </cell>
          <cell r="S143">
            <v>0</v>
          </cell>
          <cell r="T143">
            <v>28.055205699545809</v>
          </cell>
        </row>
        <row r="144">
          <cell r="I144">
            <v>120.93571354849571</v>
          </cell>
          <cell r="J144">
            <v>15.542970463544764</v>
          </cell>
          <cell r="K144">
            <v>0.46924240003114132</v>
          </cell>
          <cell r="L144">
            <v>0</v>
          </cell>
          <cell r="M144">
            <v>0</v>
          </cell>
          <cell r="N144">
            <v>0.21422538901480845</v>
          </cell>
          <cell r="P144">
            <v>0.12259056948360104</v>
          </cell>
          <cell r="Q144">
            <v>51.008230247495945</v>
          </cell>
          <cell r="S144">
            <v>0</v>
          </cell>
          <cell r="T144">
            <v>16.837958519827133</v>
          </cell>
        </row>
        <row r="145">
          <cell r="I145">
            <v>197.19163681475854</v>
          </cell>
          <cell r="J145">
            <v>25.343578805120973</v>
          </cell>
          <cell r="K145">
            <v>0.7651228426243275</v>
          </cell>
          <cell r="L145">
            <v>0</v>
          </cell>
          <cell r="M145">
            <v>0</v>
          </cell>
          <cell r="N145">
            <v>0.34930504701713833</v>
          </cell>
          <cell r="P145">
            <v>0.19988996091572953</v>
          </cell>
          <cell r="Q145">
            <v>83.171431485326636</v>
          </cell>
          <cell r="S145">
            <v>0</v>
          </cell>
          <cell r="T145">
            <v>27.455120606802922</v>
          </cell>
        </row>
        <row r="146">
          <cell r="I146">
            <v>20.729683308565384</v>
          </cell>
          <cell r="J146">
            <v>2.6642324746731227</v>
          </cell>
          <cell r="K146">
            <v>8.0433199277366849E-2</v>
          </cell>
          <cell r="L146">
            <v>0</v>
          </cell>
          <cell r="M146">
            <v>0</v>
          </cell>
          <cell r="N146">
            <v>3.6720538049749979E-2</v>
          </cell>
          <cell r="P146">
            <v>2.1013343432191949E-2</v>
          </cell>
          <cell r="Q146">
            <v>8.7433598242835107</v>
          </cell>
          <cell r="S146">
            <v>0</v>
          </cell>
          <cell r="T146">
            <v>2.8862073694947692</v>
          </cell>
        </row>
        <row r="147">
          <cell r="I147">
            <v>3.0976362731166796</v>
          </cell>
          <cell r="J147">
            <v>0.39811621966037763</v>
          </cell>
          <cell r="K147">
            <v>1.2019131789700105E-2</v>
          </cell>
          <cell r="L147">
            <v>0</v>
          </cell>
          <cell r="M147">
            <v>0</v>
          </cell>
          <cell r="N147">
            <v>5.4871494628317453E-3</v>
          </cell>
          <cell r="P147">
            <v>3.1400236012346814E-3</v>
          </cell>
          <cell r="Q147">
            <v>1.3065201304556755</v>
          </cell>
          <cell r="S147">
            <v>0</v>
          </cell>
          <cell r="T147">
            <v>0.43128592494172563</v>
          </cell>
        </row>
        <row r="148">
          <cell r="I148">
            <v>336.90085723134519</v>
          </cell>
          <cell r="J148">
            <v>43.299368891472035</v>
          </cell>
          <cell r="K148">
            <v>1.3072082859658429</v>
          </cell>
          <cell r="L148">
            <v>0</v>
          </cell>
          <cell r="M148">
            <v>0</v>
          </cell>
          <cell r="N148">
            <v>0.59678580530196979</v>
          </cell>
          <cell r="P148">
            <v>0.34151092953151635</v>
          </cell>
          <cell r="Q148">
            <v>142.09794602438978</v>
          </cell>
          <cell r="S148">
            <v>0</v>
          </cell>
          <cell r="T148">
            <v>46.906926770484596</v>
          </cell>
        </row>
        <row r="149">
          <cell r="I149">
            <v>122.44632319937958</v>
          </cell>
          <cell r="J149">
            <v>15.737117920046254</v>
          </cell>
          <cell r="K149">
            <v>0.47510371326353645</v>
          </cell>
          <cell r="L149">
            <v>0</v>
          </cell>
          <cell r="M149">
            <v>0</v>
          </cell>
          <cell r="N149">
            <v>0.21690128127702549</v>
          </cell>
          <cell r="P149">
            <v>0.12412184996258888</v>
          </cell>
          <cell r="Q149">
            <v>51.645374748698011</v>
          </cell>
          <cell r="S149">
            <v>0</v>
          </cell>
          <cell r="T149">
            <v>17.048281689839541</v>
          </cell>
        </row>
        <row r="150">
          <cell r="I150">
            <v>6.1819839539866859</v>
          </cell>
          <cell r="J150">
            <v>0.79452455510085251</v>
          </cell>
          <cell r="K150">
            <v>2.3986702541424744E-2</v>
          </cell>
          <cell r="L150">
            <v>0</v>
          </cell>
          <cell r="M150">
            <v>0</v>
          </cell>
          <cell r="N150">
            <v>1.0950759528078002E-2</v>
          </cell>
          <cell r="P150">
            <v>6.2665767722436209E-3</v>
          </cell>
          <cell r="Q150">
            <v>2.607435402320827</v>
          </cell>
          <cell r="S150">
            <v>0</v>
          </cell>
          <cell r="T150">
            <v>0.86072167049085457</v>
          </cell>
        </row>
        <row r="151">
          <cell r="I151">
            <v>55.087284599863345</v>
          </cell>
          <cell r="J151">
            <v>7.0799601898343498</v>
          </cell>
          <cell r="K151">
            <v>0.21374405358325135</v>
          </cell>
          <cell r="L151">
            <v>0</v>
          </cell>
          <cell r="M151">
            <v>0</v>
          </cell>
          <cell r="N151">
            <v>9.7581554917959834E-2</v>
          </cell>
          <cell r="P151">
            <v>5.5841086079956026E-2</v>
          </cell>
          <cell r="Q151">
            <v>23.234698949805129</v>
          </cell>
          <cell r="S151">
            <v>0</v>
          </cell>
          <cell r="T151">
            <v>7.6698386758222297</v>
          </cell>
        </row>
        <row r="152">
          <cell r="I152">
            <v>26.781229892748215</v>
          </cell>
          <cell r="J152">
            <v>3.4419928818914656</v>
          </cell>
          <cell r="K152">
            <v>0.10391379206291733</v>
          </cell>
          <cell r="L152">
            <v>0</v>
          </cell>
          <cell r="M152">
            <v>0</v>
          </cell>
          <cell r="N152">
            <v>4.7440240965447765E-2</v>
          </cell>
          <cell r="P152">
            <v>2.7147697960261306E-2</v>
          </cell>
          <cell r="Q152">
            <v>11.295779390532351</v>
          </cell>
          <cell r="S152">
            <v>0</v>
          </cell>
          <cell r="T152">
            <v>3.7287681596488818</v>
          </cell>
        </row>
        <row r="153">
          <cell r="I153">
            <v>24.667867846510308</v>
          </cell>
          <cell r="J153">
            <v>3.1703781297258025</v>
          </cell>
          <cell r="K153">
            <v>9.5713740567676162E-2</v>
          </cell>
          <cell r="L153">
            <v>0</v>
          </cell>
          <cell r="M153">
            <v>0</v>
          </cell>
          <cell r="N153">
            <v>4.3696633777791836E-2</v>
          </cell>
          <cell r="P153">
            <v>2.5005417163535024E-2</v>
          </cell>
          <cell r="Q153">
            <v>10.404406158525129</v>
          </cell>
          <cell r="S153">
            <v>0</v>
          </cell>
          <cell r="T153">
            <v>3.4345233792791761</v>
          </cell>
        </row>
        <row r="154">
          <cell r="I154">
            <v>1370.4728767703484</v>
          </cell>
          <cell r="J154">
            <v>176.13671610900008</v>
          </cell>
          <cell r="K154">
            <v>5.3175688388808444</v>
          </cell>
          <cell r="L154">
            <v>0</v>
          </cell>
          <cell r="M154">
            <v>0</v>
          </cell>
          <cell r="N154">
            <v>2.4276541357871153</v>
          </cell>
          <cell r="P154">
            <v>1.3892261061306301</v>
          </cell>
          <cell r="Q154">
            <v>578.03765318850753</v>
          </cell>
          <cell r="S154">
            <v>0</v>
          </cell>
          <cell r="T154">
            <v>190.81183526778239</v>
          </cell>
        </row>
        <row r="155">
          <cell r="I155">
            <v>46.034414610979091</v>
          </cell>
          <cell r="J155">
            <v>5.9164619417249176</v>
          </cell>
          <cell r="K155">
            <v>0.17861803235999638</v>
          </cell>
          <cell r="L155">
            <v>0</v>
          </cell>
          <cell r="M155">
            <v>0</v>
          </cell>
          <cell r="N155">
            <v>8.154531104785169E-2</v>
          </cell>
          <cell r="P155">
            <v>4.6664338741765544E-2</v>
          </cell>
          <cell r="Q155">
            <v>19.416382066856546</v>
          </cell>
          <cell r="S155">
            <v>0</v>
          </cell>
          <cell r="T155">
            <v>6.4094016644087617</v>
          </cell>
        </row>
        <row r="156">
          <cell r="I156">
            <v>6.4964739040851764</v>
          </cell>
          <cell r="J156">
            <v>0.83494361628663172</v>
          </cell>
          <cell r="K156">
            <v>2.5206954315196373E-2</v>
          </cell>
          <cell r="L156">
            <v>0</v>
          </cell>
          <cell r="M156">
            <v>0</v>
          </cell>
          <cell r="N156">
            <v>1.1507846677310231E-2</v>
          </cell>
          <cell r="P156">
            <v>6.5853701290462269E-3</v>
          </cell>
          <cell r="Q156">
            <v>2.7400808824230682</v>
          </cell>
          <cell r="S156">
            <v>0</v>
          </cell>
          <cell r="T156">
            <v>0.90450831199884407</v>
          </cell>
        </row>
        <row r="157">
          <cell r="I157">
            <v>90.234328724622827</v>
          </cell>
          <cell r="J157">
            <v>11.59714913826666</v>
          </cell>
          <cell r="K157">
            <v>0.35011802331626152</v>
          </cell>
          <cell r="L157">
            <v>0</v>
          </cell>
          <cell r="M157">
            <v>0</v>
          </cell>
          <cell r="N157">
            <v>0.15984098994686807</v>
          </cell>
          <cell r="P157">
            <v>9.1469074111727222E-2</v>
          </cell>
          <cell r="Q157">
            <v>38.059009045066723</v>
          </cell>
          <cell r="S157">
            <v>0</v>
          </cell>
          <cell r="T157">
            <v>12.563384624347329</v>
          </cell>
        </row>
        <row r="158">
          <cell r="I158">
            <v>501.80152343136905</v>
          </cell>
          <cell r="J158">
            <v>64.492828697189665</v>
          </cell>
          <cell r="K158">
            <v>1.9470390034933358</v>
          </cell>
          <cell r="L158">
            <v>0</v>
          </cell>
          <cell r="M158">
            <v>0</v>
          </cell>
          <cell r="N158">
            <v>0.88889066274207884</v>
          </cell>
          <cell r="P158">
            <v>0.50866805776543322</v>
          </cell>
          <cell r="Q158">
            <v>211.64970127263024</v>
          </cell>
          <cell r="S158">
            <v>0</v>
          </cell>
          <cell r="T158">
            <v>69.866154412155879</v>
          </cell>
        </row>
        <row r="159">
          <cell r="I159">
            <v>18.465197103336028</v>
          </cell>
          <cell r="J159">
            <v>2.3731948550135638</v>
          </cell>
          <cell r="K159">
            <v>7.1646771260359857E-2</v>
          </cell>
          <cell r="L159">
            <v>0</v>
          </cell>
          <cell r="M159">
            <v>0</v>
          </cell>
          <cell r="N159">
            <v>3.2709229694262452E-2</v>
          </cell>
          <cell r="P159">
            <v>1.8717870528933266E-2</v>
          </cell>
          <cell r="Q159">
            <v>7.7882454882499426</v>
          </cell>
          <cell r="S159">
            <v>0</v>
          </cell>
          <cell r="T159">
            <v>2.5709214735953525</v>
          </cell>
        </row>
        <row r="160">
          <cell r="I160">
            <v>5.5203951060464744</v>
          </cell>
          <cell r="J160">
            <v>0.70949544648752505</v>
          </cell>
          <cell r="K160">
            <v>2.1419673086417537E-2</v>
          </cell>
          <cell r="L160">
            <v>0</v>
          </cell>
          <cell r="M160">
            <v>0</v>
          </cell>
          <cell r="N160">
            <v>9.7788217757033315E-3</v>
          </cell>
          <cell r="P160">
            <v>5.5959348977036678E-3</v>
          </cell>
          <cell r="Q160">
            <v>2.3283906495780617</v>
          </cell>
          <cell r="S160">
            <v>0</v>
          </cell>
          <cell r="T160">
            <v>0.76860822234610637</v>
          </cell>
        </row>
        <row r="161">
          <cell r="I161">
            <v>4.7780404994288501</v>
          </cell>
          <cell r="J161">
            <v>0.61408611382991274</v>
          </cell>
          <cell r="K161">
            <v>1.8539264586212665E-2</v>
          </cell>
          <cell r="L161">
            <v>0</v>
          </cell>
          <cell r="M161">
            <v>0</v>
          </cell>
          <cell r="N161">
            <v>8.463815647874736E-3</v>
          </cell>
          <cell r="P161">
            <v>4.8434220847905851E-3</v>
          </cell>
          <cell r="Q161">
            <v>2.0152805385234256</v>
          </cell>
          <cell r="S161">
            <v>0</v>
          </cell>
          <cell r="T161">
            <v>0.66524970477951739</v>
          </cell>
        </row>
        <row r="162">
          <cell r="I162">
            <v>0.72580185545581721</v>
          </cell>
          <cell r="J162">
            <v>9.3281930297719501E-2</v>
          </cell>
          <cell r="K162">
            <v>2.8161822062973177E-3</v>
          </cell>
          <cell r="L162">
            <v>0</v>
          </cell>
          <cell r="M162">
            <v>0</v>
          </cell>
          <cell r="N162">
            <v>1.2856846027566704E-3</v>
          </cell>
          <cell r="P162">
            <v>7.357335577873195E-4</v>
          </cell>
          <cell r="Q162">
            <v>0.30612849646191698</v>
          </cell>
          <cell r="S162">
            <v>0</v>
          </cell>
          <cell r="T162">
            <v>0.10105386719265465</v>
          </cell>
        </row>
        <row r="163">
          <cell r="I163">
            <v>5.610193800709621</v>
          </cell>
          <cell r="J163">
            <v>0.72103660681031467</v>
          </cell>
          <cell r="K163">
            <v>2.1768100806956025E-2</v>
          </cell>
          <cell r="L163">
            <v>0</v>
          </cell>
          <cell r="M163">
            <v>0</v>
          </cell>
          <cell r="N163">
            <v>9.9378910839562715E-3</v>
          </cell>
          <cell r="P163">
            <v>5.6869623766396113E-3</v>
          </cell>
          <cell r="Q163">
            <v>2.3662659170148022</v>
          </cell>
          <cell r="S163">
            <v>0</v>
          </cell>
          <cell r="T163">
            <v>0.78111095335505965</v>
          </cell>
        </row>
        <row r="164">
          <cell r="I164">
            <v>10.001113927196194</v>
          </cell>
          <cell r="J164">
            <v>1.285369009797273</v>
          </cell>
          <cell r="K164">
            <v>3.8805300473135455E-2</v>
          </cell>
          <cell r="L164">
            <v>0</v>
          </cell>
          <cell r="M164">
            <v>0</v>
          </cell>
          <cell r="N164">
            <v>1.7715962132028727E-2</v>
          </cell>
          <cell r="P164">
            <v>1.0137966824115253E-2</v>
          </cell>
          <cell r="Q164">
            <v>4.2182669367167041</v>
          </cell>
          <cell r="S164">
            <v>0</v>
          </cell>
          <cell r="T164">
            <v>1.3924616353354256</v>
          </cell>
        </row>
        <row r="165">
          <cell r="I165">
            <v>4.6889431787268494</v>
          </cell>
          <cell r="J165">
            <v>0.60263509590131015</v>
          </cell>
          <cell r="K165">
            <v>1.8193558265260701E-2</v>
          </cell>
          <cell r="L165">
            <v>0</v>
          </cell>
          <cell r="M165">
            <v>0</v>
          </cell>
          <cell r="N165">
            <v>8.3059887526796342E-3</v>
          </cell>
          <cell r="P165">
            <v>4.7531055772525414E-3</v>
          </cell>
          <cell r="Q165">
            <v>1.9777010963929569</v>
          </cell>
          <cell r="S165">
            <v>0</v>
          </cell>
          <cell r="T165">
            <v>0.6528446265260498</v>
          </cell>
        </row>
        <row r="166">
          <cell r="I166">
            <v>1226.1445444775575</v>
          </cell>
          <cell r="J166">
            <v>157.58726582622688</v>
          </cell>
          <cell r="K166">
            <v>4.7575607895596379</v>
          </cell>
          <cell r="L166">
            <v>0</v>
          </cell>
          <cell r="M166">
            <v>0</v>
          </cell>
          <cell r="N166">
            <v>2.1719910878415378</v>
          </cell>
          <cell r="P166">
            <v>1.2429228187952761</v>
          </cell>
          <cell r="Q166">
            <v>517.16289097961203</v>
          </cell>
          <cell r="S166">
            <v>0</v>
          </cell>
          <cell r="T166">
            <v>170.7169071355122</v>
          </cell>
        </row>
        <row r="167">
          <cell r="I167">
            <v>0.44968298316397065</v>
          </cell>
          <cell r="J167">
            <v>5.7794419201681969E-2</v>
          </cell>
          <cell r="K167">
            <v>1.7448139683602132E-3</v>
          </cell>
          <cell r="L167">
            <v>0</v>
          </cell>
          <cell r="M167">
            <v>0</v>
          </cell>
          <cell r="N167">
            <v>7.9656793824605852E-4</v>
          </cell>
          <cell r="P167">
            <v>4.5583633961897958E-4</v>
          </cell>
          <cell r="Q167">
            <v>0.18966715844786911</v>
          </cell>
          <cell r="S167">
            <v>0</v>
          </cell>
          <cell r="T167">
            <v>6.2609655952050577E-2</v>
          </cell>
        </row>
        <row r="168">
          <cell r="I168">
            <v>2.8648339047475573</v>
          </cell>
          <cell r="J168">
            <v>0.36819585759997159</v>
          </cell>
          <cell r="K168">
            <v>1.1115835824752123E-2</v>
          </cell>
          <cell r="L168">
            <v>0</v>
          </cell>
          <cell r="M168">
            <v>0</v>
          </cell>
          <cell r="N168">
            <v>5.0747636053865407E-3</v>
          </cell>
          <cell r="P168">
            <v>2.9040356198675597E-3</v>
          </cell>
          <cell r="Q168">
            <v>1.208328814925274</v>
          </cell>
          <cell r="S168">
            <v>0</v>
          </cell>
          <cell r="T168">
            <v>0.39887269888220511</v>
          </cell>
        </row>
        <row r="169">
          <cell r="I169">
            <v>3.5954729058628465</v>
          </cell>
          <cell r="J169">
            <v>0.46209947035944715</v>
          </cell>
          <cell r="K169">
            <v>1.3950786629439041E-2</v>
          </cell>
          <cell r="L169">
            <v>0</v>
          </cell>
          <cell r="M169">
            <v>0</v>
          </cell>
          <cell r="N169">
            <v>6.3690167226061155E-3</v>
          </cell>
          <cell r="P169">
            <v>3.644672513680859E-3</v>
          </cell>
          <cell r="Q169">
            <v>1.5164975212830059</v>
          </cell>
          <cell r="S169">
            <v>0</v>
          </cell>
          <cell r="T169">
            <v>0.50060004502974187</v>
          </cell>
        </row>
        <row r="170">
          <cell r="I170">
            <v>105058.89170897703</v>
          </cell>
          <cell r="J170">
            <v>13502.440287091593</v>
          </cell>
          <cell r="K170">
            <v>407.63877802203899</v>
          </cell>
          <cell r="L170">
            <v>0</v>
          </cell>
          <cell r="M170">
            <v>0</v>
          </cell>
          <cell r="N170">
            <v>186.10120439563224</v>
          </cell>
          <cell r="P170">
            <v>106.49649293841425</v>
          </cell>
          <cell r="Q170">
            <v>44311.70892863928</v>
          </cell>
          <cell r="S170">
            <v>0</v>
          </cell>
          <cell r="T170">
            <v>14627.418227663557</v>
          </cell>
        </row>
        <row r="171">
          <cell r="I171">
            <v>10406.282428054114</v>
          </cell>
          <cell r="J171">
            <v>1337.4423126853237</v>
          </cell>
          <cell r="K171">
            <v>40.377393895177818</v>
          </cell>
          <cell r="L171">
            <v>0</v>
          </cell>
          <cell r="M171">
            <v>0</v>
          </cell>
          <cell r="N171">
            <v>18.433677165628197</v>
          </cell>
          <cell r="P171">
            <v>10.548679555694509</v>
          </cell>
          <cell r="Q171">
            <v>4389.1587897052423</v>
          </cell>
          <cell r="S171">
            <v>0</v>
          </cell>
          <cell r="T171">
            <v>1448.8735107923017</v>
          </cell>
        </row>
        <row r="172">
          <cell r="I172">
            <v>91.803211624067004</v>
          </cell>
          <cell r="J172">
            <v>11.798786023280309</v>
          </cell>
          <cell r="K172">
            <v>0.35620544245409796</v>
          </cell>
          <cell r="L172">
            <v>0</v>
          </cell>
          <cell r="M172">
            <v>0</v>
          </cell>
          <cell r="N172">
            <v>0.16262010737703347</v>
          </cell>
          <cell r="P172">
            <v>9.3059425236738949E-2</v>
          </cell>
          <cell r="Q172">
            <v>38.720732020175454</v>
          </cell>
          <cell r="S172">
            <v>0</v>
          </cell>
          <cell r="T172">
            <v>12.781821216882209</v>
          </cell>
        </row>
        <row r="173">
          <cell r="I173">
            <v>3174.4533042323242</v>
          </cell>
          <cell r="J173">
            <v>407.98894303293935</v>
          </cell>
          <cell r="K173">
            <v>12.317189385643566</v>
          </cell>
          <cell r="L173">
            <v>0</v>
          </cell>
          <cell r="M173">
            <v>0</v>
          </cell>
          <cell r="N173">
            <v>5.6232230666569105</v>
          </cell>
          <cell r="P173">
            <v>3.2178917785843768</v>
          </cell>
          <cell r="Q173">
            <v>1338.9199955997676</v>
          </cell>
          <cell r="S173">
            <v>0</v>
          </cell>
          <cell r="T173">
            <v>441.98121044167692</v>
          </cell>
        </row>
        <row r="174">
          <cell r="I174">
            <v>1783.2395947485043</v>
          </cell>
          <cell r="J174">
            <v>229.18656149893195</v>
          </cell>
          <cell r="K174">
            <v>6.9191440867035432</v>
          </cell>
          <cell r="L174">
            <v>0</v>
          </cell>
          <cell r="M174">
            <v>0</v>
          </cell>
          <cell r="N174">
            <v>3.1588286427765437</v>
          </cell>
          <cell r="P174">
            <v>1.8076410270508076</v>
          </cell>
          <cell r="Q174">
            <v>752.13427999420333</v>
          </cell>
          <cell r="S174">
            <v>0</v>
          </cell>
          <cell r="T174">
            <v>248.28161546546019</v>
          </cell>
        </row>
        <row r="175">
          <cell r="I175">
            <v>42.301299866100749</v>
          </cell>
          <cell r="J175">
            <v>5.436672386479934</v>
          </cell>
          <cell r="K175">
            <v>0.16413318192930954</v>
          </cell>
          <cell r="L175">
            <v>0</v>
          </cell>
          <cell r="M175">
            <v>0</v>
          </cell>
          <cell r="N175">
            <v>7.4932475724084541E-2</v>
          </cell>
          <cell r="P175">
            <v>4.2880140930432138E-2</v>
          </cell>
          <cell r="Q175">
            <v>17.841830010563289</v>
          </cell>
          <cell r="S175">
            <v>0</v>
          </cell>
          <cell r="T175">
            <v>5.8896376560804029</v>
          </cell>
        </row>
        <row r="176">
          <cell r="I176">
            <v>7107.207749764606</v>
          </cell>
          <cell r="J176">
            <v>913.43670857467532</v>
          </cell>
          <cell r="K176">
            <v>27.576661386151425</v>
          </cell>
          <cell r="L176">
            <v>0</v>
          </cell>
          <cell r="M176">
            <v>0</v>
          </cell>
          <cell r="N176">
            <v>12.589699935014133</v>
          </cell>
          <cell r="P176">
            <v>7.204461113404026</v>
          </cell>
          <cell r="Q176">
            <v>2997.6760270356872</v>
          </cell>
          <cell r="S176">
            <v>0</v>
          </cell>
          <cell r="T176">
            <v>989.54118490682117</v>
          </cell>
        </row>
        <row r="177">
          <cell r="I177">
            <v>8405.5574733564099</v>
          </cell>
          <cell r="J177">
            <v>1080.3039706349155</v>
          </cell>
          <cell r="K177">
            <v>32.614385334699335</v>
          </cell>
          <cell r="L177">
            <v>0</v>
          </cell>
          <cell r="M177">
            <v>0</v>
          </cell>
          <cell r="N177">
            <v>14.889595197154279</v>
          </cell>
          <cell r="P177">
            <v>8.5205771500466625</v>
          </cell>
          <cell r="Q177">
            <v>3545.2935975574533</v>
          </cell>
          <cell r="S177">
            <v>0</v>
          </cell>
          <cell r="T177">
            <v>1170.311266370815</v>
          </cell>
        </row>
        <row r="178">
          <cell r="I178">
            <v>60.590047203348696</v>
          </cell>
          <cell r="J178">
            <v>7.7871894615215238</v>
          </cell>
          <cell r="K178">
            <v>0.23509531083469706</v>
          </cell>
          <cell r="L178">
            <v>0</v>
          </cell>
          <cell r="M178">
            <v>0</v>
          </cell>
          <cell r="N178">
            <v>0.10732914249815854</v>
          </cell>
          <cell r="P178">
            <v>6.1419147196069751E-2</v>
          </cell>
          <cell r="Q178">
            <v>25.555652567557875</v>
          </cell>
          <cell r="S178">
            <v>0</v>
          </cell>
          <cell r="T178">
            <v>8.4359919133006454</v>
          </cell>
        </row>
        <row r="179">
          <cell r="I179">
            <v>193.70409422512282</v>
          </cell>
          <cell r="J179">
            <v>24.895350817948891</v>
          </cell>
          <cell r="K179">
            <v>0.75159083618096023</v>
          </cell>
          <cell r="L179">
            <v>0</v>
          </cell>
          <cell r="M179">
            <v>0</v>
          </cell>
          <cell r="N179">
            <v>0.34312721793713846</v>
          </cell>
          <cell r="P179">
            <v>0.19635469561140481</v>
          </cell>
          <cell r="Q179">
            <v>81.700456781574218</v>
          </cell>
          <cell r="S179">
            <v>0</v>
          </cell>
          <cell r="T179">
            <v>26.969547770315145</v>
          </cell>
        </row>
        <row r="180">
          <cell r="I180">
            <v>1749.9826933055992</v>
          </cell>
          <cell r="J180">
            <v>224.91229857304444</v>
          </cell>
          <cell r="K180">
            <v>6.7901040554938223</v>
          </cell>
          <cell r="L180">
            <v>0</v>
          </cell>
          <cell r="M180">
            <v>0</v>
          </cell>
          <cell r="N180">
            <v>3.0999174044004918</v>
          </cell>
          <cell r="P180">
            <v>1.7739290459699595</v>
          </cell>
          <cell r="Q180">
            <v>738.1071937320653</v>
          </cell>
          <cell r="S180">
            <v>0</v>
          </cell>
          <cell r="T180">
            <v>243.65123531915987</v>
          </cell>
        </row>
        <row r="181">
          <cell r="I181">
            <v>1.717071551753808</v>
          </cell>
          <cell r="J181">
            <v>0.22068247360197898</v>
          </cell>
          <cell r="K181">
            <v>6.6624056064882317E-3</v>
          </cell>
          <cell r="L181">
            <v>0</v>
          </cell>
          <cell r="M181">
            <v>0</v>
          </cell>
          <cell r="N181">
            <v>3.0416186447125458E-3</v>
          </cell>
          <cell r="P181">
            <v>1.7405675560774672E-3</v>
          </cell>
          <cell r="Q181">
            <v>0.72422594197669732</v>
          </cell>
          <cell r="S181">
            <v>0</v>
          </cell>
          <cell r="T181">
            <v>0.2390689955487135</v>
          </cell>
        </row>
        <row r="182">
          <cell r="I182">
            <v>4.4839213168528378</v>
          </cell>
          <cell r="J182">
            <v>0.57628515633436128</v>
          </cell>
          <cell r="K182">
            <v>1.7398053383354702E-2</v>
          </cell>
          <cell r="L182">
            <v>0</v>
          </cell>
          <cell r="M182">
            <v>0</v>
          </cell>
          <cell r="N182">
            <v>7.9428132536663709E-3</v>
          </cell>
          <cell r="P182">
            <v>4.5452782443146638E-3</v>
          </cell>
          <cell r="Q182">
            <v>1.8912270348491256</v>
          </cell>
          <cell r="S182">
            <v>0</v>
          </cell>
          <cell r="T182">
            <v>0.62429929856130451</v>
          </cell>
        </row>
        <row r="183">
          <cell r="I183">
            <v>2.0548069635085917</v>
          </cell>
          <cell r="J183">
            <v>0.26408910159770915</v>
          </cell>
          <cell r="K183">
            <v>7.9728520456517089E-3</v>
          </cell>
          <cell r="L183">
            <v>0</v>
          </cell>
          <cell r="M183">
            <v>0</v>
          </cell>
          <cell r="N183">
            <v>3.6398827789728676E-3</v>
          </cell>
          <cell r="P183">
            <v>2.0829244599807509E-3</v>
          </cell>
          <cell r="Q183">
            <v>0.86667588616636515</v>
          </cell>
          <cell r="S183">
            <v>0</v>
          </cell>
          <cell r="T183">
            <v>0.28609211789150568</v>
          </cell>
        </row>
        <row r="184">
          <cell r="I184">
            <v>14.892305555814211</v>
          </cell>
          <cell r="J184">
            <v>1.9139975991896161</v>
          </cell>
          <cell r="K184">
            <v>5.7783602510478468E-2</v>
          </cell>
          <cell r="L184">
            <v>0</v>
          </cell>
          <cell r="M184">
            <v>0</v>
          </cell>
          <cell r="N184">
            <v>2.6380213564807433E-2</v>
          </cell>
          <cell r="P184">
            <v>1.5096088371603849E-2</v>
          </cell>
          <cell r="Q184">
            <v>6.2812723257503214</v>
          </cell>
          <cell r="S184">
            <v>0</v>
          </cell>
          <cell r="T184">
            <v>2.0734654458613391</v>
          </cell>
        </row>
        <row r="185">
          <cell r="I185">
            <v>113.21144173974247</v>
          </cell>
          <cell r="J185">
            <v>14.55022708730711</v>
          </cell>
          <cell r="K185">
            <v>0.43927146972709347</v>
          </cell>
          <cell r="L185">
            <v>0</v>
          </cell>
          <cell r="M185">
            <v>0</v>
          </cell>
          <cell r="N185">
            <v>0.20054262248924667</v>
          </cell>
          <cell r="P185">
            <v>0.114760600551376</v>
          </cell>
          <cell r="Q185">
            <v>47.750289120310775</v>
          </cell>
          <cell r="S185">
            <v>0</v>
          </cell>
          <cell r="T185">
            <v>15.762503102271735</v>
          </cell>
        </row>
        <row r="186">
          <cell r="I186">
            <v>14.722378717688443</v>
          </cell>
          <cell r="J186">
            <v>1.8921581627778621</v>
          </cell>
          <cell r="K186">
            <v>5.7124269754155271E-2</v>
          </cell>
          <cell r="L186">
            <v>0</v>
          </cell>
          <cell r="M186">
            <v>0</v>
          </cell>
          <cell r="N186">
            <v>2.6079205351985733E-2</v>
          </cell>
          <cell r="P186">
            <v>1.4923836294486589E-2</v>
          </cell>
          <cell r="Q186">
            <v>6.2096006331624043</v>
          </cell>
          <cell r="S186">
            <v>0</v>
          </cell>
          <cell r="T186">
            <v>2.0498064210140612</v>
          </cell>
        </row>
        <row r="187">
          <cell r="I187">
            <v>29.659649173966525</v>
          </cell>
          <cell r="J187">
            <v>3.8119347671868562</v>
          </cell>
          <cell r="K187">
            <v>0.1150823404774695</v>
          </cell>
          <cell r="L187">
            <v>0</v>
          </cell>
          <cell r="M187">
            <v>0</v>
          </cell>
          <cell r="N187">
            <v>5.2539069691665566E-2</v>
          </cell>
          <cell r="P187">
            <v>3.0065504855704382E-2</v>
          </cell>
          <cell r="Q187">
            <v>12.509838241612252</v>
          </cell>
          <cell r="S187">
            <v>0</v>
          </cell>
          <cell r="T187">
            <v>4.1295323593853732</v>
          </cell>
        </row>
        <row r="188">
          <cell r="I188">
            <v>0</v>
          </cell>
          <cell r="J188">
            <v>0</v>
          </cell>
          <cell r="K188">
            <v>0</v>
          </cell>
          <cell r="L188">
            <v>0</v>
          </cell>
          <cell r="M188">
            <v>0</v>
          </cell>
          <cell r="N188">
            <v>0</v>
          </cell>
          <cell r="P188">
            <v>0</v>
          </cell>
          <cell r="Q188">
            <v>0</v>
          </cell>
          <cell r="S188">
            <v>0</v>
          </cell>
          <cell r="T188">
            <v>0</v>
          </cell>
        </row>
        <row r="189">
          <cell r="I189">
            <v>337.04495696186365</v>
          </cell>
          <cell r="J189">
            <v>43.31788896126394</v>
          </cell>
          <cell r="K189">
            <v>1.3077674070179153</v>
          </cell>
          <cell r="L189">
            <v>0</v>
          </cell>
          <cell r="M189">
            <v>0</v>
          </cell>
          <cell r="N189">
            <v>0.59704106340498553</v>
          </cell>
          <cell r="P189">
            <v>0.34165700108894426</v>
          </cell>
          <cell r="Q189">
            <v>142.15872436700846</v>
          </cell>
          <cell r="S189">
            <v>0</v>
          </cell>
          <cell r="T189">
            <v>46.926989870242267</v>
          </cell>
        </row>
        <row r="190">
          <cell r="I190">
            <v>82.223260712860494</v>
          </cell>
          <cell r="J190">
            <v>10.567545972793638</v>
          </cell>
          <cell r="K190">
            <v>0.31903429568650205</v>
          </cell>
          <cell r="L190">
            <v>0</v>
          </cell>
          <cell r="M190">
            <v>0</v>
          </cell>
          <cell r="N190">
            <v>0.1456501929449909</v>
          </cell>
          <cell r="P190">
            <v>8.334838452452778E-2</v>
          </cell>
          <cell r="Q190">
            <v>34.680103098408878</v>
          </cell>
          <cell r="S190">
            <v>0</v>
          </cell>
          <cell r="T190">
            <v>11.447998383809901</v>
          </cell>
        </row>
        <row r="191">
          <cell r="I191">
            <v>0.61260794855858569</v>
          </cell>
          <cell r="J191">
            <v>7.8733956833690694E-2</v>
          </cell>
          <cell r="K191">
            <v>2.3769787734746473E-3</v>
          </cell>
          <cell r="L191">
            <v>0</v>
          </cell>
          <cell r="M191">
            <v>0</v>
          </cell>
          <cell r="N191">
            <v>1.0851730414680237E-3</v>
          </cell>
          <cell r="P191">
            <v>6.2099073202112609E-4</v>
          </cell>
          <cell r="Q191">
            <v>0.25838560318240394</v>
          </cell>
          <cell r="S191">
            <v>0</v>
          </cell>
          <cell r="T191">
            <v>8.5293805477977949E-2</v>
          </cell>
        </row>
        <row r="192">
          <cell r="I192">
            <v>3.7925901031657674E-2</v>
          </cell>
          <cell r="J192">
            <v>4.874334820061178E-3</v>
          </cell>
          <cell r="K192">
            <v>1.471562063947482E-4</v>
          </cell>
          <cell r="L192">
            <v>0</v>
          </cell>
          <cell r="M192">
            <v>0</v>
          </cell>
          <cell r="N192">
            <v>6.7181899075544434E-5</v>
          </cell>
          <cell r="P192">
            <v>3.8444870164719332E-5</v>
          </cell>
          <cell r="Q192">
            <v>1.5996375556925811E-2</v>
          </cell>
          <cell r="S192">
            <v>0</v>
          </cell>
          <cell r="T192">
            <v>5.2804480137460938E-3</v>
          </cell>
        </row>
        <row r="193">
          <cell r="I193">
            <v>654.26479302817654</v>
          </cell>
          <cell r="J193">
            <v>84.087802147016518</v>
          </cell>
          <cell r="K193">
            <v>2.5386114054167108</v>
          </cell>
          <cell r="L193">
            <v>0</v>
          </cell>
          <cell r="M193">
            <v>0</v>
          </cell>
          <cell r="N193">
            <v>1.1589639296166179</v>
          </cell>
          <cell r="P193">
            <v>0.6632175989785789</v>
          </cell>
          <cell r="Q193">
            <v>275.95561498240829</v>
          </cell>
          <cell r="S193">
            <v>0</v>
          </cell>
          <cell r="T193">
            <v>91.093715187565849</v>
          </cell>
        </row>
        <row r="194">
          <cell r="I194">
            <v>3.1232132218952089E-3</v>
          </cell>
          <cell r="J194">
            <v>4.0140343522100549E-4</v>
          </cell>
          <cell r="K194">
            <v>1.2118372853221818E-5</v>
          </cell>
          <cell r="L194">
            <v>0</v>
          </cell>
          <cell r="M194">
            <v>0</v>
          </cell>
          <cell r="N194">
            <v>5.5324564415654909E-6</v>
          </cell>
          <cell r="P194">
            <v>3.1659505389804548E-6</v>
          </cell>
          <cell r="Q194">
            <v>1.3173079685065122E-3</v>
          </cell>
          <cell r="S194">
            <v>0</v>
          </cell>
          <cell r="T194">
            <v>4.3484702025393794E-4</v>
          </cell>
        </row>
        <row r="195">
          <cell r="I195">
            <v>0.12137490008159844</v>
          </cell>
          <cell r="J195">
            <v>1.5599415851856499E-2</v>
          </cell>
          <cell r="K195">
            <v>4.7094648674636796E-4</v>
          </cell>
          <cell r="L195">
            <v>0</v>
          </cell>
          <cell r="M195">
            <v>0</v>
          </cell>
          <cell r="N195">
            <v>2.1500336355304323E-4</v>
          </cell>
          <cell r="P195">
            <v>1.2303576574219835E-4</v>
          </cell>
          <cell r="Q195">
            <v>5.1193470216275856E-2</v>
          </cell>
          <cell r="S195">
            <v>0</v>
          </cell>
          <cell r="T195">
            <v>1.6899106748169822E-2</v>
          </cell>
        </row>
        <row r="196">
          <cell r="I196">
            <v>0</v>
          </cell>
          <cell r="J196">
            <v>0</v>
          </cell>
          <cell r="K196">
            <v>0</v>
          </cell>
          <cell r="L196">
            <v>0</v>
          </cell>
          <cell r="M196">
            <v>0</v>
          </cell>
          <cell r="N196">
            <v>0</v>
          </cell>
          <cell r="P196">
            <v>0</v>
          </cell>
          <cell r="Q196">
            <v>0</v>
          </cell>
          <cell r="S196">
            <v>0</v>
          </cell>
          <cell r="T196">
            <v>0</v>
          </cell>
        </row>
        <row r="197">
          <cell r="I197">
            <v>0</v>
          </cell>
          <cell r="J197">
            <v>0</v>
          </cell>
          <cell r="K197">
            <v>0</v>
          </cell>
          <cell r="L197">
            <v>0</v>
          </cell>
          <cell r="M197">
            <v>0</v>
          </cell>
          <cell r="N197">
            <v>0</v>
          </cell>
          <cell r="P197">
            <v>0</v>
          </cell>
          <cell r="Q197">
            <v>0</v>
          </cell>
          <cell r="S197">
            <v>0</v>
          </cell>
          <cell r="T197">
            <v>0</v>
          </cell>
        </row>
        <row r="198">
          <cell r="I198">
            <v>13.172630104500566</v>
          </cell>
          <cell r="J198">
            <v>1.6929804656864287</v>
          </cell>
          <cell r="K198">
            <v>5.1111093518951621E-2</v>
          </cell>
          <cell r="L198">
            <v>0</v>
          </cell>
          <cell r="M198">
            <v>0</v>
          </cell>
          <cell r="N198">
            <v>2.3333982375299024E-2</v>
          </cell>
          <cell r="P198">
            <v>1.3352881284815788E-2</v>
          </cell>
          <cell r="Q198">
            <v>5.5559481117711496</v>
          </cell>
          <cell r="S198">
            <v>0</v>
          </cell>
          <cell r="T198">
            <v>1.8340339076733017</v>
          </cell>
        </row>
        <row r="199">
          <cell r="I199">
            <v>0.48425518224868919</v>
          </cell>
          <cell r="J199">
            <v>6.223772757988149E-2</v>
          </cell>
          <cell r="K199">
            <v>1.8789574830992434E-3</v>
          </cell>
          <cell r="L199">
            <v>0</v>
          </cell>
          <cell r="M199">
            <v>0</v>
          </cell>
          <cell r="N199">
            <v>8.578090934078154E-4</v>
          </cell>
          <cell r="P199">
            <v>4.90881616566029E-4</v>
          </cell>
          <cell r="Q199">
            <v>0.20424901056856987</v>
          </cell>
          <cell r="S199">
            <v>0</v>
          </cell>
          <cell r="T199">
            <v>6.7423165849557071E-2</v>
          </cell>
        </row>
        <row r="200">
          <cell r="I200">
            <v>5.1840918181262777E-5</v>
          </cell>
          <cell r="J200">
            <v>6.662728787483395E-6</v>
          </cell>
          <cell r="K200">
            <v>2.0114783427840745E-7</v>
          </cell>
          <cell r="L200">
            <v>0</v>
          </cell>
          <cell r="M200">
            <v>0</v>
          </cell>
          <cell r="N200">
            <v>9.1830945040171844E-8</v>
          </cell>
          <cell r="P200">
            <v>5.255029714481575E-8</v>
          </cell>
          <cell r="Q200">
            <v>2.1865447461647215E-5</v>
          </cell>
          <cell r="S200">
            <v>0</v>
          </cell>
          <cell r="T200">
            <v>7.21784495541774E-6</v>
          </cell>
        </row>
        <row r="201">
          <cell r="I201">
            <v>1.2176810616204272</v>
          </cell>
          <cell r="J201">
            <v>0.15649951713556118</v>
          </cell>
          <cell r="K201">
            <v>4.7247216480689001E-3</v>
          </cell>
          <cell r="L201">
            <v>0</v>
          </cell>
          <cell r="M201">
            <v>0</v>
          </cell>
          <cell r="N201">
            <v>2.1569988836837328E-3</v>
          </cell>
          <cell r="P201">
            <v>1.2343435236240919E-3</v>
          </cell>
          <cell r="Q201">
            <v>0.51359316563045665</v>
          </cell>
          <cell r="S201">
            <v>0</v>
          </cell>
          <cell r="T201">
            <v>0.16953853088006063</v>
          </cell>
        </row>
        <row r="202">
          <cell r="I202">
            <v>0.24849093794808624</v>
          </cell>
          <cell r="J202">
            <v>3.193669756979476E-2</v>
          </cell>
          <cell r="K202">
            <v>9.6416914976890839E-4</v>
          </cell>
          <cell r="L202">
            <v>0</v>
          </cell>
          <cell r="M202">
            <v>0</v>
          </cell>
          <cell r="N202">
            <v>4.4017657221856726E-4</v>
          </cell>
          <cell r="P202">
            <v>2.5189122965197877E-4</v>
          </cell>
          <cell r="Q202">
            <v>0.10480843586530332</v>
          </cell>
          <cell r="S202">
            <v>0</v>
          </cell>
          <cell r="T202">
            <v>3.4597555866282451E-2</v>
          </cell>
        </row>
        <row r="203">
          <cell r="I203">
            <v>3.7931025491895722</v>
          </cell>
          <cell r="J203">
            <v>0.48749934289351365</v>
          </cell>
          <cell r="K203">
            <v>1.4717608980181141E-2</v>
          </cell>
          <cell r="L203">
            <v>0</v>
          </cell>
          <cell r="M203">
            <v>0</v>
          </cell>
          <cell r="N203">
            <v>6.719097653873355E-3</v>
          </cell>
          <cell r="P203">
            <v>3.8450064746869184E-3</v>
          </cell>
          <cell r="Q203">
            <v>1.5998536950281392</v>
          </cell>
          <cell r="S203">
            <v>0</v>
          </cell>
          <cell r="T203">
            <v>0.52811614956977271</v>
          </cell>
        </row>
        <row r="204">
          <cell r="I204">
            <v>0.78539741827955112</v>
          </cell>
          <cell r="J204">
            <v>0.10094130605652855</v>
          </cell>
          <cell r="K204">
            <v>3.0474188204460545E-3</v>
          </cell>
          <cell r="L204">
            <v>0</v>
          </cell>
          <cell r="M204">
            <v>0</v>
          </cell>
          <cell r="N204">
            <v>1.3912521167264069E-3</v>
          </cell>
          <cell r="P204">
            <v>7.9614461231281009E-4</v>
          </cell>
          <cell r="Q204">
            <v>0.33126469569576156</v>
          </cell>
          <cell r="S204">
            <v>0</v>
          </cell>
          <cell r="T204">
            <v>0.10935139639513786</v>
          </cell>
        </row>
      </sheetData>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3">
          <cell r="F3" t="str">
            <v>เทศบาลเมืองป่าตอง</v>
          </cell>
        </row>
        <row r="9">
          <cell r="F9">
            <v>16.399999999999999</v>
          </cell>
        </row>
      </sheetData>
      <sheetData sheetId="1">
        <row r="25">
          <cell r="G25">
            <v>757698.6053590792</v>
          </cell>
        </row>
      </sheetData>
      <sheetData sheetId="2"/>
      <sheetData sheetId="3"/>
      <sheetData sheetId="4"/>
      <sheetData sheetId="5">
        <row r="29">
          <cell r="O29">
            <v>12228.886979254754</v>
          </cell>
        </row>
      </sheetData>
      <sheetData sheetId="6">
        <row r="31">
          <cell r="J31">
            <v>847450.36153908004</v>
          </cell>
        </row>
      </sheetData>
      <sheetData sheetId="7">
        <row r="29">
          <cell r="G29">
            <v>110618.18593020002</v>
          </cell>
        </row>
      </sheetData>
      <sheetData sheetId="8">
        <row r="31">
          <cell r="G31">
            <v>0</v>
          </cell>
        </row>
      </sheetData>
      <sheetData sheetId="9">
        <row r="26">
          <cell r="G26">
            <v>3261077.3140540537</v>
          </cell>
        </row>
      </sheetData>
      <sheetData sheetId="10">
        <row r="27">
          <cell r="N27">
            <v>250742.55628324326</v>
          </cell>
        </row>
      </sheetData>
      <sheetData sheetId="11">
        <row r="19">
          <cell r="P19">
            <v>0</v>
          </cell>
        </row>
      </sheetData>
      <sheetData sheetId="12">
        <row r="20">
          <cell r="S20">
            <v>0</v>
          </cell>
        </row>
      </sheetData>
      <sheetData sheetId="13">
        <row r="27">
          <cell r="K27">
            <v>1014368.6381400001</v>
          </cell>
        </row>
      </sheetData>
      <sheetData sheetId="14">
        <row r="27">
          <cell r="U27">
            <v>0</v>
          </cell>
        </row>
      </sheetData>
      <sheetData sheetId="15">
        <row r="19">
          <cell r="K19">
            <v>0</v>
          </cell>
        </row>
      </sheetData>
      <sheetData sheetId="16">
        <row r="6">
          <cell r="E6">
            <v>0</v>
          </cell>
        </row>
      </sheetData>
      <sheetData sheetId="17">
        <row r="9">
          <cell r="C9">
            <v>2.0880000000000001</v>
          </cell>
        </row>
      </sheetData>
      <sheetData sheetId="18">
        <row r="15">
          <cell r="D15">
            <v>8.4119440000000019</v>
          </cell>
        </row>
      </sheetData>
      <sheetData sheetId="19">
        <row r="40">
          <cell r="C40">
            <v>0</v>
          </cell>
        </row>
      </sheetData>
      <sheetData sheetId="20">
        <row r="11">
          <cell r="M11">
            <v>0</v>
          </cell>
        </row>
      </sheetData>
      <sheetData sheetId="21">
        <row r="5">
          <cell r="G5">
            <v>0</v>
          </cell>
        </row>
      </sheetData>
      <sheetData sheetId="22">
        <row r="8">
          <cell r="E8">
            <v>0</v>
          </cell>
        </row>
      </sheetData>
      <sheetData sheetId="23"/>
      <sheetData sheetId="24"/>
      <sheetData sheetId="25"/>
      <sheetData sheetId="26">
        <row r="6">
          <cell r="BJ6">
            <v>10.994400000000001</v>
          </cell>
          <cell r="BK6">
            <v>0.2</v>
          </cell>
        </row>
        <row r="9">
          <cell r="BA9">
            <v>1.2585842375917136</v>
          </cell>
        </row>
        <row r="11">
          <cell r="BA11">
            <v>0.587339310876133</v>
          </cell>
        </row>
        <row r="13">
          <cell r="BA13">
            <v>0.65026852275571867</v>
          </cell>
        </row>
      </sheetData>
      <sheetData sheetId="27">
        <row r="2">
          <cell r="A2">
            <v>0</v>
          </cell>
          <cell r="C2" t="str">
            <v>ไฟฟ้า</v>
          </cell>
          <cell r="I2" t="str">
            <v>บาท</v>
          </cell>
          <cell r="M2" t="str">
            <v>เทศบาล</v>
          </cell>
          <cell r="O2" t="str">
            <v>พื้นที่ภายในเขตฯ</v>
          </cell>
          <cell r="Q2" t="str">
            <v>ฝังกลบถูกหลักฯ</v>
          </cell>
          <cell r="S2" t="str">
            <v>ค่าเฉลี่ยทั่วประเทศ</v>
          </cell>
          <cell r="Y2" t="str">
            <v>เทศบาล</v>
          </cell>
          <cell r="AC2">
            <v>2550</v>
          </cell>
        </row>
        <row r="3">
          <cell r="A3">
            <v>0.05</v>
          </cell>
          <cell r="C3" t="str">
            <v>ก๊าซหุงต้ม</v>
          </cell>
          <cell r="I3" t="str">
            <v>ลิตร</v>
          </cell>
          <cell r="M3" t="str">
            <v>แหล่งอื่น</v>
          </cell>
          <cell r="O3" t="str">
            <v>พื้นที่ภายนอกเขตฯ</v>
          </cell>
          <cell r="Q3" t="str">
            <v>เทกอง</v>
          </cell>
          <cell r="S3" t="str">
            <v>IPCC 2006</v>
          </cell>
          <cell r="Y3" t="str">
            <v>เอกชน</v>
          </cell>
          <cell r="AC3">
            <v>2551</v>
          </cell>
        </row>
        <row r="4">
          <cell r="A4">
            <v>0.1</v>
          </cell>
          <cell r="C4" t="str">
            <v>ถ่านไม้และฟืน</v>
          </cell>
          <cell r="I4" t="str">
            <v>กก.</v>
          </cell>
          <cell r="S4" t="str">
            <v>ค่าเฉลี่ยเทศบาล</v>
          </cell>
          <cell r="AC4">
            <v>2552</v>
          </cell>
        </row>
        <row r="5">
          <cell r="A5">
            <v>0.15</v>
          </cell>
          <cell r="I5" t="str">
            <v>ปอนด์</v>
          </cell>
          <cell r="S5" t="str">
            <v>งานวิจัย อบก.</v>
          </cell>
          <cell r="AC5">
            <v>2553</v>
          </cell>
        </row>
        <row r="6">
          <cell r="A6">
            <v>0.2</v>
          </cell>
          <cell r="I6" t="str">
            <v>MJ</v>
          </cell>
          <cell r="AC6">
            <v>2554</v>
          </cell>
        </row>
        <row r="7">
          <cell r="A7">
            <v>0.25</v>
          </cell>
          <cell r="I7" t="str">
            <v>kWh</v>
          </cell>
          <cell r="AC7">
            <v>2555</v>
          </cell>
        </row>
        <row r="8">
          <cell r="A8">
            <v>0.3</v>
          </cell>
          <cell r="I8" t="str">
            <v>GWh</v>
          </cell>
          <cell r="AC8">
            <v>2556</v>
          </cell>
        </row>
        <row r="9">
          <cell r="A9">
            <v>0.35</v>
          </cell>
          <cell r="AC9">
            <v>2557</v>
          </cell>
        </row>
        <row r="10">
          <cell r="A10">
            <v>0.4</v>
          </cell>
          <cell r="AC10">
            <v>2558</v>
          </cell>
        </row>
        <row r="11">
          <cell r="A11">
            <v>0.45</v>
          </cell>
          <cell r="AC11">
            <v>2559</v>
          </cell>
        </row>
        <row r="12">
          <cell r="A12">
            <v>0.5</v>
          </cell>
          <cell r="AC12">
            <v>2560</v>
          </cell>
        </row>
        <row r="13">
          <cell r="A13">
            <v>0.55000000000000004</v>
          </cell>
        </row>
        <row r="14">
          <cell r="A14">
            <v>0.6</v>
          </cell>
        </row>
        <row r="15">
          <cell r="A15">
            <v>0.65</v>
          </cell>
        </row>
        <row r="16">
          <cell r="A16">
            <v>0.7</v>
          </cell>
        </row>
        <row r="17">
          <cell r="A17">
            <v>0.75</v>
          </cell>
        </row>
        <row r="18">
          <cell r="A18">
            <v>0.8</v>
          </cell>
        </row>
        <row r="19">
          <cell r="A19">
            <v>0.85</v>
          </cell>
        </row>
        <row r="20">
          <cell r="A20">
            <v>0.9</v>
          </cell>
        </row>
        <row r="21">
          <cell r="A21">
            <v>0.95</v>
          </cell>
        </row>
        <row r="22">
          <cell r="A22">
            <v>1</v>
          </cell>
        </row>
      </sheetData>
      <sheetData sheetId="28"/>
      <sheetData sheetId="29"/>
      <sheetData sheetId="30"/>
      <sheetData sheetId="31"/>
      <sheetData sheetId="32"/>
      <sheetData sheetId="33"/>
      <sheetData sheetId="34">
        <row r="33">
          <cell r="C33" t="str">
            <v>น้ำมันเบนซิน</v>
          </cell>
        </row>
        <row r="34">
          <cell r="C34" t="str">
            <v>น้ำมันดีเซล</v>
          </cell>
        </row>
        <row r="35">
          <cell r="C35" t="str">
            <v>น้ำมันไบโอดีเซล</v>
          </cell>
        </row>
        <row r="36">
          <cell r="C36" t="str">
            <v>แก๊สโซฮอล์</v>
          </cell>
        </row>
        <row r="37">
          <cell r="C37" t="str">
            <v>ก๊าซปิโตรเลียมเหลว</v>
          </cell>
        </row>
        <row r="38">
          <cell r="C38" t="str">
            <v>ไฟฟ้า</v>
          </cell>
        </row>
        <row r="39">
          <cell r="C39" t="str">
            <v>ก๊าซหุงต้ม</v>
          </cell>
        </row>
        <row r="40">
          <cell r="C40" t="str">
            <v>ถ่านไม้และฟืน</v>
          </cell>
        </row>
      </sheetData>
      <sheetData sheetId="35"/>
      <sheetData sheetId="36"/>
      <sheetData sheetId="37">
        <row r="160">
          <cell r="D160">
            <v>9.4030177861463352E-2</v>
          </cell>
        </row>
        <row r="161">
          <cell r="D161">
            <v>1.6293124047656569E-2</v>
          </cell>
        </row>
        <row r="162">
          <cell r="D162">
            <v>1.4678788668094226E-2</v>
          </cell>
        </row>
        <row r="163">
          <cell r="D163">
            <v>6.6953111674342581E-3</v>
          </cell>
        </row>
        <row r="164">
          <cell r="D164">
            <v>2.9073819389791072E-2</v>
          </cell>
        </row>
        <row r="165">
          <cell r="D165">
            <v>6.5717289615703695E-2</v>
          </cell>
        </row>
        <row r="166">
          <cell r="D166">
            <v>4.1347952118606854E-2</v>
          </cell>
        </row>
        <row r="167">
          <cell r="D167">
            <v>0</v>
          </cell>
        </row>
        <row r="168">
          <cell r="D168">
            <v>2.5216468432454849E-2</v>
          </cell>
        </row>
        <row r="169">
          <cell r="D169">
            <v>0.21522778271753296</v>
          </cell>
        </row>
        <row r="170">
          <cell r="D170">
            <v>0</v>
          </cell>
        </row>
        <row r="171">
          <cell r="D171">
            <v>0.26783108615553219</v>
          </cell>
        </row>
        <row r="172">
          <cell r="D172">
            <v>0.10942191575034008</v>
          </cell>
        </row>
        <row r="173">
          <cell r="D173">
            <v>0.26617211713768929</v>
          </cell>
        </row>
        <row r="174">
          <cell r="D174">
            <v>7.1313493072611089E-2</v>
          </cell>
        </row>
        <row r="175">
          <cell r="D175">
            <v>7.1066344186135874E-2</v>
          </cell>
        </row>
        <row r="176">
          <cell r="D176">
            <v>2.3397984447259559E-2</v>
          </cell>
        </row>
        <row r="177">
          <cell r="D177">
            <v>6.5269252108272448E-3</v>
          </cell>
        </row>
        <row r="178">
          <cell r="D178">
            <v>1.2849464098034299E-2</v>
          </cell>
        </row>
        <row r="179">
          <cell r="D179">
            <v>8.0739103802153107E-3</v>
          </cell>
        </row>
        <row r="180">
          <cell r="D180">
            <v>7.6385915261141558E-3</v>
          </cell>
        </row>
        <row r="181">
          <cell r="D181">
            <v>7.4906236427455218E-3</v>
          </cell>
        </row>
        <row r="182">
          <cell r="D182">
            <v>1.8474277536130047E-2</v>
          </cell>
        </row>
        <row r="183">
          <cell r="D183">
            <v>6.6018894423745941E-3</v>
          </cell>
        </row>
        <row r="184">
          <cell r="D184">
            <v>1.3363858048868355E-2</v>
          </cell>
        </row>
        <row r="185">
          <cell r="D185">
            <v>3.2200567478982235E-2</v>
          </cell>
        </row>
        <row r="186">
          <cell r="D186">
            <v>6.1421544885348386E-2</v>
          </cell>
        </row>
        <row r="187">
          <cell r="D187">
            <v>3.6694284056947965E-3</v>
          </cell>
        </row>
        <row r="188">
          <cell r="D188">
            <v>0.22477868245626453</v>
          </cell>
        </row>
        <row r="189">
          <cell r="D189">
            <v>7.6617925469957158E-3</v>
          </cell>
        </row>
        <row r="190">
          <cell r="D190">
            <v>7.4170964343691873E-2</v>
          </cell>
        </row>
        <row r="191">
          <cell r="D191">
            <v>0.50384258558832951</v>
          </cell>
        </row>
        <row r="192">
          <cell r="D192">
            <v>1.1932217992232061E-2</v>
          </cell>
        </row>
        <row r="193">
          <cell r="D193">
            <v>0.12649830319862201</v>
          </cell>
        </row>
        <row r="194">
          <cell r="D194">
            <v>0</v>
          </cell>
        </row>
        <row r="195">
          <cell r="D195">
            <v>2.9813809850022788E-2</v>
          </cell>
        </row>
        <row r="196">
          <cell r="D196">
            <v>2.5825438733945272E-2</v>
          </cell>
        </row>
        <row r="197">
          <cell r="D197">
            <v>2.8948512928174625E-3</v>
          </cell>
        </row>
        <row r="198">
          <cell r="D198">
            <v>1.2012203475200879E-2</v>
          </cell>
        </row>
        <row r="199">
          <cell r="D199">
            <v>0</v>
          </cell>
        </row>
        <row r="200">
          <cell r="D200">
            <v>6.133504058732122E-2</v>
          </cell>
        </row>
        <row r="201">
          <cell r="D201">
            <v>4.9760388086373383E-2</v>
          </cell>
        </row>
        <row r="202">
          <cell r="D202">
            <v>0.1010240187361794</v>
          </cell>
        </row>
        <row r="203">
          <cell r="D203">
            <v>1.7863258750575688E-2</v>
          </cell>
        </row>
        <row r="204">
          <cell r="D204">
            <v>7.9159402715819102E-2</v>
          </cell>
        </row>
        <row r="205">
          <cell r="D205">
            <v>0.24155829937670045</v>
          </cell>
        </row>
        <row r="206">
          <cell r="D206">
            <v>2.1481853144953739E-2</v>
          </cell>
        </row>
        <row r="207">
          <cell r="D207">
            <v>2.0711708390899999E-2</v>
          </cell>
        </row>
        <row r="208">
          <cell r="D208">
            <v>4.1879307704453507E-2</v>
          </cell>
        </row>
        <row r="209">
          <cell r="D209">
            <v>0</v>
          </cell>
        </row>
        <row r="210">
          <cell r="D210">
            <v>6.1437389702287362E-2</v>
          </cell>
        </row>
        <row r="211">
          <cell r="D211">
            <v>6.7840907700443973E-2</v>
          </cell>
        </row>
        <row r="212">
          <cell r="D212">
            <v>0.18154701348976923</v>
          </cell>
        </row>
        <row r="213">
          <cell r="D213">
            <v>2.4156730961168497E-2</v>
          </cell>
        </row>
        <row r="214">
          <cell r="D214">
            <v>4.4208853317498152E-2</v>
          </cell>
        </row>
        <row r="215">
          <cell r="D215">
            <v>3.8480418934300063E-2</v>
          </cell>
        </row>
        <row r="216">
          <cell r="D216">
            <v>4.5303529395299205E-2</v>
          </cell>
        </row>
        <row r="217">
          <cell r="D217">
            <v>4.1438322123501627E-3</v>
          </cell>
        </row>
        <row r="218">
          <cell r="D218">
            <v>0.32297507330334108</v>
          </cell>
        </row>
        <row r="219">
          <cell r="D219">
            <v>1.6681574451917449E-2</v>
          </cell>
        </row>
        <row r="220">
          <cell r="D220">
            <v>0</v>
          </cell>
        </row>
        <row r="221">
          <cell r="D221">
            <v>0.98735573584450143</v>
          </cell>
        </row>
        <row r="222">
          <cell r="D222">
            <v>0.24058863124627236</v>
          </cell>
        </row>
        <row r="223">
          <cell r="D223">
            <v>4.2673453658190561E-3</v>
          </cell>
        </row>
        <row r="224">
          <cell r="D224">
            <v>0.2037516898527833</v>
          </cell>
        </row>
        <row r="225">
          <cell r="D225">
            <v>6.8866194950189932E-2</v>
          </cell>
        </row>
        <row r="226">
          <cell r="D226">
            <v>0</v>
          </cell>
        </row>
        <row r="227">
          <cell r="D227">
            <v>2.3126182595528438E-2</v>
          </cell>
        </row>
        <row r="228">
          <cell r="D228">
            <v>2.5326169586748835E-3</v>
          </cell>
        </row>
        <row r="229">
          <cell r="D229">
            <v>3.5921673152831059E-3</v>
          </cell>
        </row>
        <row r="230">
          <cell r="D230">
            <v>3.1225682322573384E-3</v>
          </cell>
        </row>
        <row r="231">
          <cell r="D231">
            <v>1.8916368722859053E-2</v>
          </cell>
        </row>
      </sheetData>
      <sheetData sheetId="38">
        <row r="161">
          <cell r="D161">
            <v>0.10781702710147473</v>
          </cell>
          <cell r="E161">
            <v>48.078930607364846</v>
          </cell>
          <cell r="F161">
            <v>0</v>
          </cell>
        </row>
        <row r="162">
          <cell r="D162">
            <v>1.3759240534547421E-2</v>
          </cell>
          <cell r="E162">
            <v>6.1356688146106242</v>
          </cell>
          <cell r="F162">
            <v>0</v>
          </cell>
        </row>
        <row r="163">
          <cell r="D163">
            <v>1.4120209484976432E-2</v>
          </cell>
          <cell r="E163">
            <v>6.2966359789413167</v>
          </cell>
          <cell r="F163">
            <v>0</v>
          </cell>
        </row>
        <row r="164">
          <cell r="D164">
            <v>8.2961377796096864E-4</v>
          </cell>
          <cell r="E164">
            <v>0.36995031614031243</v>
          </cell>
          <cell r="F164">
            <v>0</v>
          </cell>
        </row>
        <row r="165">
          <cell r="D165">
            <v>0.27560832361807502</v>
          </cell>
          <cell r="E165">
            <v>122.90223374063274</v>
          </cell>
          <cell r="F165">
            <v>0</v>
          </cell>
        </row>
        <row r="166">
          <cell r="D166">
            <v>1.7237961364425385E-2</v>
          </cell>
          <cell r="E166">
            <v>7.6869374952493779</v>
          </cell>
          <cell r="F166">
            <v>0</v>
          </cell>
        </row>
        <row r="167">
          <cell r="D167">
            <v>6.4750233124234557E-2</v>
          </cell>
          <cell r="E167">
            <v>28.874121730891133</v>
          </cell>
          <cell r="F167">
            <v>0</v>
          </cell>
        </row>
        <row r="168">
          <cell r="D168">
            <v>5.8576921748646794E-2</v>
          </cell>
          <cell r="E168">
            <v>26.121252196052332</v>
          </cell>
          <cell r="F168">
            <v>0</v>
          </cell>
        </row>
        <row r="169">
          <cell r="D169">
            <v>0</v>
          </cell>
          <cell r="E169">
            <v>0</v>
          </cell>
          <cell r="F169">
            <v>0</v>
          </cell>
        </row>
        <row r="170">
          <cell r="D170">
            <v>5.3559059715992223E-2</v>
          </cell>
          <cell r="E170">
            <v>23.88363308382927</v>
          </cell>
          <cell r="F170">
            <v>0</v>
          </cell>
        </row>
        <row r="171">
          <cell r="D171">
            <v>6.5554067750972222E-2</v>
          </cell>
          <cell r="E171">
            <v>29.232576330110813</v>
          </cell>
          <cell r="F171">
            <v>0</v>
          </cell>
        </row>
        <row r="172">
          <cell r="D172">
            <v>0.36190387897074761</v>
          </cell>
          <cell r="E172">
            <v>161.3840777412118</v>
          </cell>
          <cell r="F172">
            <v>0</v>
          </cell>
        </row>
        <row r="173">
          <cell r="D173">
            <v>0.10300069277143901</v>
          </cell>
          <cell r="E173">
            <v>45.931178900042099</v>
          </cell>
          <cell r="F173">
            <v>0</v>
          </cell>
        </row>
        <row r="174">
          <cell r="D174">
            <v>0.13634382355779273</v>
          </cell>
          <cell r="E174">
            <v>60.79990710009335</v>
          </cell>
          <cell r="F174">
            <v>0</v>
          </cell>
        </row>
        <row r="175">
          <cell r="D175">
            <v>0.50706001920148303</v>
          </cell>
          <cell r="E175">
            <v>226.11366805738737</v>
          </cell>
          <cell r="F175">
            <v>0</v>
          </cell>
        </row>
        <row r="176">
          <cell r="D176">
            <v>8.7203636138495685E-3</v>
          </cell>
          <cell r="E176">
            <v>3.8886785170459217</v>
          </cell>
          <cell r="F176">
            <v>0</v>
          </cell>
        </row>
        <row r="177">
          <cell r="D177">
            <v>5.55189545145926E-3</v>
          </cell>
          <cell r="E177">
            <v>2.4757610493083537</v>
          </cell>
          <cell r="F177">
            <v>0</v>
          </cell>
        </row>
        <row r="178">
          <cell r="D178">
            <v>2.225390491897127E-3</v>
          </cell>
          <cell r="E178">
            <v>0.99237010990398589</v>
          </cell>
          <cell r="F178">
            <v>0</v>
          </cell>
        </row>
        <row r="179">
          <cell r="D179">
            <v>3.3144908031164555E-3</v>
          </cell>
          <cell r="E179">
            <v>1.478033457292437</v>
          </cell>
          <cell r="F179">
            <v>0</v>
          </cell>
        </row>
        <row r="180">
          <cell r="D180">
            <v>2.258838149447908E-3</v>
          </cell>
          <cell r="E180">
            <v>1.0072854498052555</v>
          </cell>
          <cell r="F180">
            <v>0</v>
          </cell>
        </row>
        <row r="181">
          <cell r="D181">
            <v>0</v>
          </cell>
          <cell r="E181">
            <v>0</v>
          </cell>
          <cell r="F181">
            <v>0</v>
          </cell>
        </row>
        <row r="182">
          <cell r="D182">
            <v>1.9452197462968744E-2</v>
          </cell>
          <cell r="E182">
            <v>8.6743335178645484</v>
          </cell>
          <cell r="F182">
            <v>0</v>
          </cell>
        </row>
        <row r="183">
          <cell r="D183">
            <v>0.10456790801161236</v>
          </cell>
          <cell r="E183">
            <v>46.630048408920146</v>
          </cell>
          <cell r="F183">
            <v>0</v>
          </cell>
        </row>
        <row r="184">
          <cell r="D184">
            <v>1.7494492237871875E-2</v>
          </cell>
          <cell r="E184">
            <v>7.8013325068227557</v>
          </cell>
          <cell r="F184">
            <v>0</v>
          </cell>
        </row>
        <row r="185">
          <cell r="D185">
            <v>0</v>
          </cell>
          <cell r="E185">
            <v>0</v>
          </cell>
          <cell r="F185">
            <v>0</v>
          </cell>
        </row>
        <row r="186">
          <cell r="D186">
            <v>2.1256270987930241E-4</v>
          </cell>
          <cell r="E186">
            <v>9.4788254255812443E-2</v>
          </cell>
          <cell r="F186">
            <v>0</v>
          </cell>
        </row>
        <row r="187">
          <cell r="D187">
            <v>3.9100013067445774E-3</v>
          </cell>
          <cell r="E187">
            <v>1.7435899185455004</v>
          </cell>
          <cell r="F187">
            <v>0</v>
          </cell>
        </row>
        <row r="188">
          <cell r="D188">
            <v>3.6485451907637169E-4</v>
          </cell>
          <cell r="E188">
            <v>0.16269985897446815</v>
          </cell>
          <cell r="F188">
            <v>0</v>
          </cell>
        </row>
        <row r="189">
          <cell r="D189">
            <v>2.8921543603462548E-2</v>
          </cell>
          <cell r="E189">
            <v>12.897006394546867</v>
          </cell>
          <cell r="F189">
            <v>0</v>
          </cell>
        </row>
        <row r="190">
          <cell r="D190">
            <v>1.0972750908893394E-2</v>
          </cell>
          <cell r="E190">
            <v>4.8930873323381503</v>
          </cell>
          <cell r="F190">
            <v>0</v>
          </cell>
        </row>
        <row r="191">
          <cell r="D191">
            <v>1.4421400862096097E-2</v>
          </cell>
          <cell r="E191">
            <v>6.4309464835932761</v>
          </cell>
          <cell r="F191">
            <v>0</v>
          </cell>
        </row>
        <row r="192">
          <cell r="D192">
            <v>8.8912100886206515E-4</v>
          </cell>
          <cell r="E192">
            <v>0.39648642181903326</v>
          </cell>
          <cell r="F192">
            <v>0</v>
          </cell>
        </row>
        <row r="193">
          <cell r="D193">
            <v>0</v>
          </cell>
          <cell r="E193">
            <v>0</v>
          </cell>
          <cell r="F193">
            <v>0</v>
          </cell>
        </row>
        <row r="194">
          <cell r="D194">
            <v>1.2210356012879067E-3</v>
          </cell>
          <cell r="E194">
            <v>0.54449735372679642</v>
          </cell>
          <cell r="F194">
            <v>0</v>
          </cell>
        </row>
        <row r="195">
          <cell r="D195">
            <v>0</v>
          </cell>
          <cell r="E195">
            <v>0</v>
          </cell>
          <cell r="F195">
            <v>0</v>
          </cell>
        </row>
        <row r="196">
          <cell r="D196">
            <v>8.6069782951672127E-2</v>
          </cell>
          <cell r="E196">
            <v>38.38116513850526</v>
          </cell>
          <cell r="F196">
            <v>0</v>
          </cell>
        </row>
        <row r="197">
          <cell r="D197">
            <v>1.5023233712489301E-4</v>
          </cell>
          <cell r="E197">
            <v>6.6993222738481295E-2</v>
          </cell>
          <cell r="F197">
            <v>0</v>
          </cell>
        </row>
        <row r="198">
          <cell r="D198">
            <v>3.5892787669080922E-3</v>
          </cell>
          <cell r="E198">
            <v>1.6005698673387163</v>
          </cell>
          <cell r="F198">
            <v>0</v>
          </cell>
        </row>
        <row r="199">
          <cell r="D199">
            <v>3.4380434274843588E-4</v>
          </cell>
          <cell r="E199">
            <v>0.1533129375006356</v>
          </cell>
          <cell r="F199">
            <v>0</v>
          </cell>
        </row>
        <row r="200">
          <cell r="D200">
            <v>0</v>
          </cell>
          <cell r="E200">
            <v>0</v>
          </cell>
          <cell r="F200">
            <v>0</v>
          </cell>
        </row>
        <row r="201">
          <cell r="D201">
            <v>4.8334946173828278E-3</v>
          </cell>
          <cell r="E201">
            <v>2.1554040075831562</v>
          </cell>
          <cell r="F201">
            <v>0</v>
          </cell>
        </row>
        <row r="202">
          <cell r="D202">
            <v>8.9167753977606656E-6</v>
          </cell>
          <cell r="E202">
            <v>3.9762645763447247E-3</v>
          </cell>
          <cell r="F202">
            <v>0</v>
          </cell>
        </row>
        <row r="203">
          <cell r="D203">
            <v>3.6012347231431763E-6</v>
          </cell>
          <cell r="E203">
            <v>1.6059013961855497E-3</v>
          </cell>
          <cell r="F203">
            <v>0</v>
          </cell>
        </row>
        <row r="204">
          <cell r="D204">
            <v>1.3653408228727515E-3</v>
          </cell>
          <cell r="E204">
            <v>0.608847493230534</v>
          </cell>
          <cell r="F204">
            <v>0</v>
          </cell>
        </row>
        <row r="205">
          <cell r="D205">
            <v>4.8938796510430917E-4</v>
          </cell>
          <cell r="E205">
            <v>0.21823315525278233</v>
          </cell>
          <cell r="F205">
            <v>0</v>
          </cell>
        </row>
        <row r="206">
          <cell r="D206">
            <v>3.3306751369706184E-3</v>
          </cell>
          <cell r="E206">
            <v>1.4852505498539703</v>
          </cell>
          <cell r="F206">
            <v>0</v>
          </cell>
        </row>
        <row r="207">
          <cell r="D207">
            <v>6.5139688501478297E-5</v>
          </cell>
          <cell r="E207">
            <v>2.9047791869648936E-2</v>
          </cell>
          <cell r="F207">
            <v>0</v>
          </cell>
        </row>
        <row r="208">
          <cell r="D208">
            <v>2.8891553190422106E-3</v>
          </cell>
          <cell r="E208">
            <v>1.2883632746374389</v>
          </cell>
          <cell r="F208">
            <v>0</v>
          </cell>
        </row>
        <row r="209">
          <cell r="D209">
            <v>4.7545262210906261E-3</v>
          </cell>
          <cell r="E209">
            <v>2.1201895693114143</v>
          </cell>
          <cell r="F209">
            <v>0</v>
          </cell>
        </row>
        <row r="210">
          <cell r="D210">
            <v>0</v>
          </cell>
          <cell r="E210">
            <v>0</v>
          </cell>
          <cell r="F210">
            <v>0</v>
          </cell>
        </row>
        <row r="211">
          <cell r="D211">
            <v>1.3372496372273741E-2</v>
          </cell>
          <cell r="E211">
            <v>5.9632076900494795</v>
          </cell>
          <cell r="F211">
            <v>0</v>
          </cell>
        </row>
        <row r="212">
          <cell r="D212">
            <v>1.832209905077797E-2</v>
          </cell>
          <cell r="E212">
            <v>8.1703878554778893</v>
          </cell>
          <cell r="F212">
            <v>0</v>
          </cell>
        </row>
        <row r="213">
          <cell r="D213">
            <v>2.3188486389957894E-2</v>
          </cell>
          <cell r="E213">
            <v>10.340459740030806</v>
          </cell>
          <cell r="F213">
            <v>0</v>
          </cell>
        </row>
        <row r="214">
          <cell r="D214">
            <v>8.7592566547636732E-4</v>
          </cell>
          <cell r="E214">
            <v>0.39060221209783397</v>
          </cell>
          <cell r="F214">
            <v>0</v>
          </cell>
        </row>
        <row r="215">
          <cell r="D215">
            <v>1.1071985996095924E-3</v>
          </cell>
          <cell r="E215">
            <v>0.49373393118231318</v>
          </cell>
          <cell r="F215">
            <v>0</v>
          </cell>
        </row>
        <row r="216">
          <cell r="D216">
            <v>5.2654394373538894E-3</v>
          </cell>
          <cell r="E216">
            <v>2.348021496526286</v>
          </cell>
          <cell r="F216">
            <v>0</v>
          </cell>
        </row>
        <row r="217">
          <cell r="D217">
            <v>0.10122918626367687</v>
          </cell>
          <cell r="E217">
            <v>45.141209627590996</v>
          </cell>
          <cell r="F217">
            <v>0</v>
          </cell>
        </row>
        <row r="218">
          <cell r="D218">
            <v>8.5790752662562861E-4</v>
          </cell>
          <cell r="E218">
            <v>0.38256736945036235</v>
          </cell>
          <cell r="F218">
            <v>0</v>
          </cell>
        </row>
        <row r="219">
          <cell r="D219">
            <v>4.3150098485643914E-3</v>
          </cell>
          <cell r="E219">
            <v>1.9241956920586023</v>
          </cell>
          <cell r="F219">
            <v>0</v>
          </cell>
        </row>
        <row r="220">
          <cell r="D220">
            <v>4.3655179852128924E-3</v>
          </cell>
          <cell r="E220">
            <v>1.9467188246501272</v>
          </cell>
          <cell r="F220">
            <v>0</v>
          </cell>
        </row>
        <row r="221">
          <cell r="D221">
            <v>6.1448263457884679E-4</v>
          </cell>
          <cell r="E221">
            <v>0.27401671833838759</v>
          </cell>
          <cell r="F221">
            <v>0</v>
          </cell>
        </row>
        <row r="222">
          <cell r="D222">
            <v>1.909191186277488E-4</v>
          </cell>
          <cell r="E222">
            <v>8.5136710804347884E-2</v>
          </cell>
          <cell r="F222">
            <v>0</v>
          </cell>
        </row>
        <row r="223">
          <cell r="D223">
            <v>5.8585592793743854E-2</v>
          </cell>
          <cell r="E223">
            <v>26.125118881924884</v>
          </cell>
          <cell r="F223">
            <v>0</v>
          </cell>
        </row>
        <row r="224">
          <cell r="D224">
            <v>1.8743582802098315E-3</v>
          </cell>
          <cell r="E224">
            <v>0.83583404319553511</v>
          </cell>
          <cell r="F224">
            <v>0</v>
          </cell>
        </row>
        <row r="225">
          <cell r="D225">
            <v>5.3038990730533951E-4</v>
          </cell>
          <cell r="E225">
            <v>0.23651718317348497</v>
          </cell>
          <cell r="F225">
            <v>0</v>
          </cell>
        </row>
        <row r="226">
          <cell r="D226">
            <v>2.2890308917105124E-4</v>
          </cell>
          <cell r="E226">
            <v>0.10207493228048657</v>
          </cell>
          <cell r="F226">
            <v>0</v>
          </cell>
        </row>
        <row r="227">
          <cell r="D227">
            <v>0</v>
          </cell>
          <cell r="E227">
            <v>0</v>
          </cell>
          <cell r="F227">
            <v>0</v>
          </cell>
        </row>
        <row r="228">
          <cell r="D228">
            <v>3.2744397059179418E-4</v>
          </cell>
          <cell r="E228">
            <v>0.14601734404219679</v>
          </cell>
          <cell r="F228">
            <v>0</v>
          </cell>
        </row>
        <row r="229">
          <cell r="D229">
            <v>4.0152280990180141E-4</v>
          </cell>
          <cell r="E229">
            <v>0.17905137837248722</v>
          </cell>
          <cell r="F229">
            <v>0</v>
          </cell>
        </row>
        <row r="230">
          <cell r="D230">
            <v>1.5995811219183965E-5</v>
          </cell>
          <cell r="E230">
            <v>7.1330245165434972E-3</v>
          </cell>
          <cell r="F230">
            <v>0</v>
          </cell>
        </row>
        <row r="231">
          <cell r="D231">
            <v>3.5038882846433629E-6</v>
          </cell>
          <cell r="E231">
            <v>1.5624916232829667E-3</v>
          </cell>
          <cell r="F231">
            <v>0</v>
          </cell>
        </row>
        <row r="232">
          <cell r="D232">
            <v>4.1426721580346127E-4</v>
          </cell>
          <cell r="E232">
            <v>0.18473450119130971</v>
          </cell>
          <cell r="F232">
            <v>0</v>
          </cell>
        </row>
      </sheetData>
      <sheetData sheetId="39"/>
      <sheetData sheetId="40">
        <row r="142">
          <cell r="D142">
            <v>6.4299751277452641E-3</v>
          </cell>
        </row>
        <row r="143">
          <cell r="D143">
            <v>1.0910470851712435E-2</v>
          </cell>
        </row>
        <row r="144">
          <cell r="D144">
            <v>4.0875258418535182E-3</v>
          </cell>
        </row>
        <row r="145">
          <cell r="D145">
            <v>2.5366013975158183E-2</v>
          </cell>
        </row>
        <row r="146">
          <cell r="D146">
            <v>7.3669584516132241E-3</v>
          </cell>
        </row>
        <row r="147">
          <cell r="D147">
            <v>4.2151553669447702E-4</v>
          </cell>
        </row>
        <row r="148">
          <cell r="D148">
            <v>7.4852233395438561E-2</v>
          </cell>
        </row>
        <row r="149">
          <cell r="D149">
            <v>5.0633076003747834E-2</v>
          </cell>
        </row>
        <row r="150">
          <cell r="D150">
            <v>9.5296264057094559E-4</v>
          </cell>
        </row>
        <row r="151">
          <cell r="D151">
            <v>5.5047065065924744E-3</v>
          </cell>
        </row>
        <row r="152">
          <cell r="D152">
            <v>1.341372249405614E-3</v>
          </cell>
        </row>
        <row r="153">
          <cell r="D153">
            <v>7.1752268560731176E-3</v>
          </cell>
        </row>
        <row r="154">
          <cell r="D154">
            <v>0.11573069318134722</v>
          </cell>
        </row>
        <row r="155">
          <cell r="D155">
            <v>9.6123184939195631E-3</v>
          </cell>
        </row>
        <row r="156">
          <cell r="D156">
            <v>4.2896171366818212E-3</v>
          </cell>
        </row>
        <row r="157">
          <cell r="D157">
            <v>4.0376975574899143E-3</v>
          </cell>
        </row>
        <row r="158">
          <cell r="D158">
            <v>1.2962546993694358E-2</v>
          </cell>
        </row>
        <row r="159">
          <cell r="D159">
            <v>3.0329844441864284E-3</v>
          </cell>
        </row>
        <row r="160">
          <cell r="D160">
            <v>5.5514233965637408E-3</v>
          </cell>
        </row>
        <row r="161">
          <cell r="D161">
            <v>4.02834168426692E-4</v>
          </cell>
        </row>
        <row r="162">
          <cell r="D162">
            <v>1.1587619063913571E-2</v>
          </cell>
        </row>
        <row r="163">
          <cell r="D163">
            <v>4.0860858995336018E-3</v>
          </cell>
        </row>
        <row r="164">
          <cell r="D164">
            <v>4.4509909978668154E-3</v>
          </cell>
        </row>
        <row r="165">
          <cell r="D165">
            <v>6.2487491603696696E-4</v>
          </cell>
        </row>
        <row r="166">
          <cell r="D166">
            <v>3.0525766928870209E-2</v>
          </cell>
        </row>
        <row r="167">
          <cell r="D167">
            <v>3.5614337565964297E-3</v>
          </cell>
        </row>
        <row r="168">
          <cell r="D168">
            <v>1.8933748830419132E-3</v>
          </cell>
        </row>
        <row r="169">
          <cell r="D169">
            <v>5.6801378540188938E-3</v>
          </cell>
        </row>
        <row r="170">
          <cell r="D170">
            <v>0.83613020971705687</v>
          </cell>
        </row>
        <row r="171">
          <cell r="D171">
            <v>8.3682950050079072E-2</v>
          </cell>
        </row>
        <row r="172">
          <cell r="D172">
            <v>1.1006325166271475E-2</v>
          </cell>
        </row>
        <row r="173">
          <cell r="D173">
            <v>0.3849472995275649</v>
          </cell>
        </row>
        <row r="174">
          <cell r="D174">
            <v>3.7223471282729716E-2</v>
          </cell>
        </row>
        <row r="175">
          <cell r="D175">
            <v>2.2610442746539606E-2</v>
          </cell>
        </row>
        <row r="176">
          <cell r="D176">
            <v>4.7089380129341843E-2</v>
          </cell>
        </row>
        <row r="177">
          <cell r="D177">
            <v>5.1251828065649055E-2</v>
          </cell>
        </row>
        <row r="178">
          <cell r="D178">
            <v>2.1530823434212014E-3</v>
          </cell>
        </row>
        <row r="179">
          <cell r="D179">
            <v>3.7693950937134173E-3</v>
          </cell>
        </row>
        <row r="180">
          <cell r="D180">
            <v>4.392919458495146E-2</v>
          </cell>
        </row>
        <row r="181">
          <cell r="D181">
            <v>6.5082488311394421E-4</v>
          </cell>
        </row>
        <row r="182">
          <cell r="D182">
            <v>5.4375886520916308E-3</v>
          </cell>
        </row>
        <row r="183">
          <cell r="D183">
            <v>1.1634707363847203E-3</v>
          </cell>
        </row>
        <row r="184">
          <cell r="D184">
            <v>2.3312120945101333E-3</v>
          </cell>
        </row>
        <row r="185">
          <cell r="D185">
            <v>1.5755648797560466E-2</v>
          </cell>
        </row>
        <row r="186">
          <cell r="D186">
            <v>2.9487856551007663E-2</v>
          </cell>
        </row>
        <row r="187">
          <cell r="D187">
            <v>6.2380779046503103E-3</v>
          </cell>
        </row>
        <row r="188">
          <cell r="D188">
            <v>0</v>
          </cell>
        </row>
        <row r="189">
          <cell r="D189">
            <v>2.1617051738499066E-2</v>
          </cell>
        </row>
        <row r="190">
          <cell r="D190">
            <v>7.3194000365662648E-2</v>
          </cell>
        </row>
        <row r="191">
          <cell r="D191">
            <v>5.8262678491796983E-3</v>
          </cell>
        </row>
        <row r="192">
          <cell r="D192">
            <v>9.1346756391267561E-2</v>
          </cell>
        </row>
        <row r="193">
          <cell r="D193">
            <v>5.3258737592677255E-2</v>
          </cell>
        </row>
        <row r="194">
          <cell r="D194">
            <v>1.1572746682307474E-3</v>
          </cell>
        </row>
        <row r="195">
          <cell r="D195">
            <v>2.5438373704903643E-3</v>
          </cell>
        </row>
        <row r="196">
          <cell r="D196">
            <v>0</v>
          </cell>
        </row>
        <row r="197">
          <cell r="D197">
            <v>0</v>
          </cell>
        </row>
        <row r="198">
          <cell r="D198">
            <v>2.3994846900180465E-2</v>
          </cell>
        </row>
        <row r="199">
          <cell r="D199">
            <v>4.016483958610876E-3</v>
          </cell>
        </row>
        <row r="200">
          <cell r="D200">
            <v>2.2070519338300741E-4</v>
          </cell>
        </row>
        <row r="201">
          <cell r="D201">
            <v>1.9496343793757379E-3</v>
          </cell>
        </row>
        <row r="202">
          <cell r="D202">
            <v>8.1172760376184894E-4</v>
          </cell>
        </row>
        <row r="203">
          <cell r="D203">
            <v>1.6291521223508005E-3</v>
          </cell>
        </row>
        <row r="204">
          <cell r="D204">
            <v>3.2819979325892632E-3</v>
          </cell>
        </row>
      </sheetData>
      <sheetData sheetId="41">
        <row r="142">
          <cell r="I142">
            <v>14.659085143058959</v>
          </cell>
          <cell r="J142">
            <v>1.8840235089842683</v>
          </cell>
          <cell r="K142">
            <v>5.6878684492413886E-2</v>
          </cell>
          <cell r="L142">
            <v>0</v>
          </cell>
          <cell r="M142">
            <v>0</v>
          </cell>
          <cell r="N142">
            <v>2.5967087183999722E-2</v>
          </cell>
          <cell r="P142">
            <v>1.4859676625429278E-2</v>
          </cell>
          <cell r="Q142">
            <v>6.1829046875797689</v>
          </cell>
          <cell r="S142">
            <v>0</v>
          </cell>
          <cell r="T142">
            <v>2.0409940152084305</v>
          </cell>
        </row>
        <row r="143">
          <cell r="I143">
            <v>201.5016438025547</v>
          </cell>
          <cell r="J143">
            <v>25.897512042403473</v>
          </cell>
          <cell r="K143">
            <v>0.78184609139644023</v>
          </cell>
          <cell r="L143">
            <v>0</v>
          </cell>
          <cell r="M143">
            <v>0</v>
          </cell>
          <cell r="N143">
            <v>0.35693978862096504</v>
          </cell>
          <cell r="P143">
            <v>0.20425894502810552</v>
          </cell>
          <cell r="Q143">
            <v>84.989304984817437</v>
          </cell>
          <cell r="S143">
            <v>0</v>
          </cell>
          <cell r="T143">
            <v>28.055205699545809</v>
          </cell>
        </row>
        <row r="144">
          <cell r="I144">
            <v>120.93571354849571</v>
          </cell>
          <cell r="J144">
            <v>15.542970463544764</v>
          </cell>
          <cell r="K144">
            <v>0.46924240003114132</v>
          </cell>
          <cell r="L144">
            <v>0</v>
          </cell>
          <cell r="M144">
            <v>0</v>
          </cell>
          <cell r="N144">
            <v>0.21422538901480845</v>
          </cell>
          <cell r="P144">
            <v>0.12259056948360104</v>
          </cell>
          <cell r="Q144">
            <v>51.008230247495945</v>
          </cell>
          <cell r="S144">
            <v>0</v>
          </cell>
          <cell r="T144">
            <v>16.837958519827133</v>
          </cell>
        </row>
        <row r="145">
          <cell r="I145">
            <v>197.19163681475854</v>
          </cell>
          <cell r="J145">
            <v>25.343578805120973</v>
          </cell>
          <cell r="K145">
            <v>0.7651228426243275</v>
          </cell>
          <cell r="L145">
            <v>0</v>
          </cell>
          <cell r="M145">
            <v>0</v>
          </cell>
          <cell r="N145">
            <v>0.34930504701713833</v>
          </cell>
          <cell r="P145">
            <v>0.19988996091572953</v>
          </cell>
          <cell r="Q145">
            <v>83.171431485326636</v>
          </cell>
          <cell r="S145">
            <v>0</v>
          </cell>
          <cell r="T145">
            <v>27.455120606802922</v>
          </cell>
        </row>
        <row r="146">
          <cell r="I146">
            <v>20.729683308565384</v>
          </cell>
          <cell r="J146">
            <v>2.6642324746731227</v>
          </cell>
          <cell r="K146">
            <v>8.0433199277366849E-2</v>
          </cell>
          <cell r="L146">
            <v>0</v>
          </cell>
          <cell r="M146">
            <v>0</v>
          </cell>
          <cell r="N146">
            <v>3.6720538049749979E-2</v>
          </cell>
          <cell r="P146">
            <v>2.1013343432191949E-2</v>
          </cell>
          <cell r="Q146">
            <v>8.7433598242835107</v>
          </cell>
          <cell r="S146">
            <v>0</v>
          </cell>
          <cell r="T146">
            <v>2.8862073694947692</v>
          </cell>
        </row>
        <row r="147">
          <cell r="I147">
            <v>3.0976362731166796</v>
          </cell>
          <cell r="J147">
            <v>0.39811621966037763</v>
          </cell>
          <cell r="K147">
            <v>1.2019131789700105E-2</v>
          </cell>
          <cell r="L147">
            <v>0</v>
          </cell>
          <cell r="M147">
            <v>0</v>
          </cell>
          <cell r="N147">
            <v>5.4871494628317453E-3</v>
          </cell>
          <cell r="P147">
            <v>3.1400236012346814E-3</v>
          </cell>
          <cell r="Q147">
            <v>1.3065201304556755</v>
          </cell>
          <cell r="S147">
            <v>0</v>
          </cell>
          <cell r="T147">
            <v>0.43128592494172563</v>
          </cell>
        </row>
        <row r="148">
          <cell r="I148">
            <v>336.90085723134519</v>
          </cell>
          <cell r="J148">
            <v>43.299368891472035</v>
          </cell>
          <cell r="K148">
            <v>1.3072082859658429</v>
          </cell>
          <cell r="L148">
            <v>0</v>
          </cell>
          <cell r="M148">
            <v>0</v>
          </cell>
          <cell r="N148">
            <v>0.59678580530196979</v>
          </cell>
          <cell r="P148">
            <v>0.34151092953151635</v>
          </cell>
          <cell r="Q148">
            <v>142.09794602438978</v>
          </cell>
          <cell r="S148">
            <v>0</v>
          </cell>
          <cell r="T148">
            <v>46.906926770484596</v>
          </cell>
        </row>
        <row r="149">
          <cell r="I149">
            <v>122.44632319937958</v>
          </cell>
          <cell r="J149">
            <v>15.737117920046254</v>
          </cell>
          <cell r="K149">
            <v>0.47510371326353645</v>
          </cell>
          <cell r="L149">
            <v>0</v>
          </cell>
          <cell r="M149">
            <v>0</v>
          </cell>
          <cell r="N149">
            <v>0.21690128127702549</v>
          </cell>
          <cell r="P149">
            <v>0.12412184996258888</v>
          </cell>
          <cell r="Q149">
            <v>51.645374748698011</v>
          </cell>
          <cell r="S149">
            <v>0</v>
          </cell>
          <cell r="T149">
            <v>17.048281689839541</v>
          </cell>
        </row>
        <row r="150">
          <cell r="I150">
            <v>6.1819839539866859</v>
          </cell>
          <cell r="J150">
            <v>0.79452455510085251</v>
          </cell>
          <cell r="K150">
            <v>2.3986702541424744E-2</v>
          </cell>
          <cell r="L150">
            <v>0</v>
          </cell>
          <cell r="M150">
            <v>0</v>
          </cell>
          <cell r="N150">
            <v>1.0950759528078002E-2</v>
          </cell>
          <cell r="P150">
            <v>6.2665767722436209E-3</v>
          </cell>
          <cell r="Q150">
            <v>2.607435402320827</v>
          </cell>
          <cell r="S150">
            <v>0</v>
          </cell>
          <cell r="T150">
            <v>0.86072167049085457</v>
          </cell>
        </row>
        <row r="151">
          <cell r="I151">
            <v>55.087284599863345</v>
          </cell>
          <cell r="J151">
            <v>7.0799601898343498</v>
          </cell>
          <cell r="K151">
            <v>0.21374405358325135</v>
          </cell>
          <cell r="L151">
            <v>0</v>
          </cell>
          <cell r="M151">
            <v>0</v>
          </cell>
          <cell r="N151">
            <v>9.7581554917959834E-2</v>
          </cell>
          <cell r="P151">
            <v>5.5841086079956026E-2</v>
          </cell>
          <cell r="Q151">
            <v>23.234698949805129</v>
          </cell>
          <cell r="S151">
            <v>0</v>
          </cell>
          <cell r="T151">
            <v>7.6698386758222297</v>
          </cell>
        </row>
        <row r="152">
          <cell r="I152">
            <v>26.781229892748215</v>
          </cell>
          <cell r="J152">
            <v>3.4419928818914656</v>
          </cell>
          <cell r="K152">
            <v>0.10391379206291733</v>
          </cell>
          <cell r="L152">
            <v>0</v>
          </cell>
          <cell r="M152">
            <v>0</v>
          </cell>
          <cell r="N152">
            <v>4.7440240965447765E-2</v>
          </cell>
          <cell r="P152">
            <v>2.7147697960261306E-2</v>
          </cell>
          <cell r="Q152">
            <v>11.295779390532351</v>
          </cell>
          <cell r="S152">
            <v>0</v>
          </cell>
          <cell r="T152">
            <v>3.7287681596488818</v>
          </cell>
        </row>
        <row r="153">
          <cell r="I153">
            <v>24.667867846510308</v>
          </cell>
          <cell r="J153">
            <v>3.1703781297258025</v>
          </cell>
          <cell r="K153">
            <v>9.5713740567676162E-2</v>
          </cell>
          <cell r="L153">
            <v>0</v>
          </cell>
          <cell r="M153">
            <v>0</v>
          </cell>
          <cell r="N153">
            <v>4.3696633777791836E-2</v>
          </cell>
          <cell r="P153">
            <v>2.5005417163535024E-2</v>
          </cell>
          <cell r="Q153">
            <v>10.404406158525129</v>
          </cell>
          <cell r="S153">
            <v>0</v>
          </cell>
          <cell r="T153">
            <v>3.4345233792791761</v>
          </cell>
        </row>
        <row r="154">
          <cell r="I154">
            <v>1370.4728767703484</v>
          </cell>
          <cell r="J154">
            <v>176.13671610900008</v>
          </cell>
          <cell r="K154">
            <v>5.3175688388808444</v>
          </cell>
          <cell r="L154">
            <v>0</v>
          </cell>
          <cell r="M154">
            <v>0</v>
          </cell>
          <cell r="N154">
            <v>2.4276541357871153</v>
          </cell>
          <cell r="P154">
            <v>1.3892261061306301</v>
          </cell>
          <cell r="Q154">
            <v>578.03765318850753</v>
          </cell>
          <cell r="S154">
            <v>0</v>
          </cell>
          <cell r="T154">
            <v>190.81183526778239</v>
          </cell>
        </row>
        <row r="155">
          <cell r="I155">
            <v>46.034414610979091</v>
          </cell>
          <cell r="J155">
            <v>5.9164619417249176</v>
          </cell>
          <cell r="K155">
            <v>0.17861803235999638</v>
          </cell>
          <cell r="L155">
            <v>0</v>
          </cell>
          <cell r="M155">
            <v>0</v>
          </cell>
          <cell r="N155">
            <v>8.154531104785169E-2</v>
          </cell>
          <cell r="P155">
            <v>4.6664338741765544E-2</v>
          </cell>
          <cell r="Q155">
            <v>19.416382066856546</v>
          </cell>
          <cell r="S155">
            <v>0</v>
          </cell>
          <cell r="T155">
            <v>6.4094016644087617</v>
          </cell>
        </row>
        <row r="156">
          <cell r="I156">
            <v>6.4964739040851764</v>
          </cell>
          <cell r="J156">
            <v>0.83494361628663172</v>
          </cell>
          <cell r="K156">
            <v>2.5206954315196373E-2</v>
          </cell>
          <cell r="L156">
            <v>0</v>
          </cell>
          <cell r="M156">
            <v>0</v>
          </cell>
          <cell r="N156">
            <v>1.1507846677310231E-2</v>
          </cell>
          <cell r="P156">
            <v>6.5853701290462269E-3</v>
          </cell>
          <cell r="Q156">
            <v>2.7400808824230682</v>
          </cell>
          <cell r="S156">
            <v>0</v>
          </cell>
          <cell r="T156">
            <v>0.90450831199884407</v>
          </cell>
        </row>
        <row r="157">
          <cell r="I157">
            <v>90.234328724622827</v>
          </cell>
          <cell r="J157">
            <v>11.59714913826666</v>
          </cell>
          <cell r="K157">
            <v>0.35011802331626152</v>
          </cell>
          <cell r="L157">
            <v>0</v>
          </cell>
          <cell r="M157">
            <v>0</v>
          </cell>
          <cell r="N157">
            <v>0.15984098994686807</v>
          </cell>
          <cell r="P157">
            <v>9.1469074111727222E-2</v>
          </cell>
          <cell r="Q157">
            <v>38.059009045066723</v>
          </cell>
          <cell r="S157">
            <v>0</v>
          </cell>
          <cell r="T157">
            <v>12.563384624347329</v>
          </cell>
        </row>
        <row r="158">
          <cell r="I158">
            <v>501.80152343136905</v>
          </cell>
          <cell r="J158">
            <v>64.492828697189665</v>
          </cell>
          <cell r="K158">
            <v>1.9470390034933358</v>
          </cell>
          <cell r="L158">
            <v>0</v>
          </cell>
          <cell r="M158">
            <v>0</v>
          </cell>
          <cell r="N158">
            <v>0.88889066274207884</v>
          </cell>
          <cell r="P158">
            <v>0.50866805776543322</v>
          </cell>
          <cell r="Q158">
            <v>211.64970127263024</v>
          </cell>
          <cell r="S158">
            <v>0</v>
          </cell>
          <cell r="T158">
            <v>69.866154412155879</v>
          </cell>
        </row>
        <row r="159">
          <cell r="I159">
            <v>18.465197103336028</v>
          </cell>
          <cell r="J159">
            <v>2.3731948550135638</v>
          </cell>
          <cell r="K159">
            <v>7.1646771260359857E-2</v>
          </cell>
          <cell r="L159">
            <v>0</v>
          </cell>
          <cell r="M159">
            <v>0</v>
          </cell>
          <cell r="N159">
            <v>3.2709229694262452E-2</v>
          </cell>
          <cell r="P159">
            <v>1.8717870528933266E-2</v>
          </cell>
          <cell r="Q159">
            <v>7.7882454882499426</v>
          </cell>
          <cell r="S159">
            <v>0</v>
          </cell>
          <cell r="T159">
            <v>2.5709214735953525</v>
          </cell>
        </row>
        <row r="160">
          <cell r="I160">
            <v>5.5203951060464744</v>
          </cell>
          <cell r="J160">
            <v>0.70949544648752505</v>
          </cell>
          <cell r="K160">
            <v>2.1419673086417537E-2</v>
          </cell>
          <cell r="L160">
            <v>0</v>
          </cell>
          <cell r="M160">
            <v>0</v>
          </cell>
          <cell r="N160">
            <v>9.7788217757033315E-3</v>
          </cell>
          <cell r="P160">
            <v>5.5959348977036678E-3</v>
          </cell>
          <cell r="Q160">
            <v>2.3283906495780617</v>
          </cell>
          <cell r="S160">
            <v>0</v>
          </cell>
          <cell r="T160">
            <v>0.76860822234610637</v>
          </cell>
        </row>
        <row r="161">
          <cell r="I161">
            <v>4.7780404994288501</v>
          </cell>
          <cell r="J161">
            <v>0.61408611382991274</v>
          </cell>
          <cell r="K161">
            <v>1.8539264586212665E-2</v>
          </cell>
          <cell r="L161">
            <v>0</v>
          </cell>
          <cell r="M161">
            <v>0</v>
          </cell>
          <cell r="N161">
            <v>8.463815647874736E-3</v>
          </cell>
          <cell r="P161">
            <v>4.8434220847905851E-3</v>
          </cell>
          <cell r="Q161">
            <v>2.0152805385234256</v>
          </cell>
          <cell r="S161">
            <v>0</v>
          </cell>
          <cell r="T161">
            <v>0.66524970477951739</v>
          </cell>
        </row>
        <row r="162">
          <cell r="I162">
            <v>0.72580185545581721</v>
          </cell>
          <cell r="J162">
            <v>9.3281930297719501E-2</v>
          </cell>
          <cell r="K162">
            <v>2.8161822062973177E-3</v>
          </cell>
          <cell r="L162">
            <v>0</v>
          </cell>
          <cell r="M162">
            <v>0</v>
          </cell>
          <cell r="N162">
            <v>1.2856846027566704E-3</v>
          </cell>
          <cell r="P162">
            <v>7.357335577873195E-4</v>
          </cell>
          <cell r="Q162">
            <v>0.30612849646191698</v>
          </cell>
          <cell r="S162">
            <v>0</v>
          </cell>
          <cell r="T162">
            <v>0.10105386719265465</v>
          </cell>
        </row>
        <row r="163">
          <cell r="I163">
            <v>5.610193800709621</v>
          </cell>
          <cell r="J163">
            <v>0.72103660681031467</v>
          </cell>
          <cell r="K163">
            <v>2.1768100806956025E-2</v>
          </cell>
          <cell r="L163">
            <v>0</v>
          </cell>
          <cell r="M163">
            <v>0</v>
          </cell>
          <cell r="N163">
            <v>9.9378910839562715E-3</v>
          </cell>
          <cell r="P163">
            <v>5.6869623766396113E-3</v>
          </cell>
          <cell r="Q163">
            <v>2.3662659170148022</v>
          </cell>
          <cell r="S163">
            <v>0</v>
          </cell>
          <cell r="T163">
            <v>0.78111095335505965</v>
          </cell>
        </row>
        <row r="164">
          <cell r="I164">
            <v>10.001113927196194</v>
          </cell>
          <cell r="J164">
            <v>1.285369009797273</v>
          </cell>
          <cell r="K164">
            <v>3.8805300473135455E-2</v>
          </cell>
          <cell r="L164">
            <v>0</v>
          </cell>
          <cell r="M164">
            <v>0</v>
          </cell>
          <cell r="N164">
            <v>1.7715962132028727E-2</v>
          </cell>
          <cell r="P164">
            <v>1.0137966824115253E-2</v>
          </cell>
          <cell r="Q164">
            <v>4.2182669367167041</v>
          </cell>
          <cell r="S164">
            <v>0</v>
          </cell>
          <cell r="T164">
            <v>1.3924616353354256</v>
          </cell>
        </row>
        <row r="165">
          <cell r="I165">
            <v>4.6889431787268494</v>
          </cell>
          <cell r="J165">
            <v>0.60263509590131015</v>
          </cell>
          <cell r="K165">
            <v>1.8193558265260701E-2</v>
          </cell>
          <cell r="L165">
            <v>0</v>
          </cell>
          <cell r="M165">
            <v>0</v>
          </cell>
          <cell r="N165">
            <v>8.3059887526796342E-3</v>
          </cell>
          <cell r="P165">
            <v>4.7531055772525414E-3</v>
          </cell>
          <cell r="Q165">
            <v>1.9777010963929569</v>
          </cell>
          <cell r="S165">
            <v>0</v>
          </cell>
          <cell r="T165">
            <v>0.6528446265260498</v>
          </cell>
        </row>
        <row r="166">
          <cell r="I166">
            <v>1226.1445444775575</v>
          </cell>
          <cell r="J166">
            <v>157.58726582622688</v>
          </cell>
          <cell r="K166">
            <v>4.7575607895596379</v>
          </cell>
          <cell r="L166">
            <v>0</v>
          </cell>
          <cell r="M166">
            <v>0</v>
          </cell>
          <cell r="N166">
            <v>2.1719910878415378</v>
          </cell>
          <cell r="P166">
            <v>1.2429228187952761</v>
          </cell>
          <cell r="Q166">
            <v>517.16289097961203</v>
          </cell>
          <cell r="S166">
            <v>0</v>
          </cell>
          <cell r="T166">
            <v>170.7169071355122</v>
          </cell>
        </row>
        <row r="167">
          <cell r="I167">
            <v>0.44968298316397065</v>
          </cell>
          <cell r="J167">
            <v>5.7794419201681969E-2</v>
          </cell>
          <cell r="K167">
            <v>1.7448139683602132E-3</v>
          </cell>
          <cell r="L167">
            <v>0</v>
          </cell>
          <cell r="M167">
            <v>0</v>
          </cell>
          <cell r="N167">
            <v>7.9656793824605852E-4</v>
          </cell>
          <cell r="P167">
            <v>4.5583633961897958E-4</v>
          </cell>
          <cell r="Q167">
            <v>0.18966715844786911</v>
          </cell>
          <cell r="S167">
            <v>0</v>
          </cell>
          <cell r="T167">
            <v>6.2609655952050577E-2</v>
          </cell>
        </row>
        <row r="168">
          <cell r="I168">
            <v>2.8648339047475573</v>
          </cell>
          <cell r="J168">
            <v>0.36819585759997159</v>
          </cell>
          <cell r="K168">
            <v>1.1115835824752123E-2</v>
          </cell>
          <cell r="L168">
            <v>0</v>
          </cell>
          <cell r="M168">
            <v>0</v>
          </cell>
          <cell r="N168">
            <v>5.0747636053865407E-3</v>
          </cell>
          <cell r="P168">
            <v>2.9040356198675597E-3</v>
          </cell>
          <cell r="Q168">
            <v>1.208328814925274</v>
          </cell>
          <cell r="S168">
            <v>0</v>
          </cell>
          <cell r="T168">
            <v>0.39887269888220511</v>
          </cell>
        </row>
        <row r="169">
          <cell r="I169">
            <v>3.5954729058628465</v>
          </cell>
          <cell r="J169">
            <v>0.46209947035944715</v>
          </cell>
          <cell r="K169">
            <v>1.3950786629439041E-2</v>
          </cell>
          <cell r="L169">
            <v>0</v>
          </cell>
          <cell r="M169">
            <v>0</v>
          </cell>
          <cell r="N169">
            <v>6.3690167226061155E-3</v>
          </cell>
          <cell r="P169">
            <v>3.644672513680859E-3</v>
          </cell>
          <cell r="Q169">
            <v>1.5164975212830059</v>
          </cell>
          <cell r="S169">
            <v>0</v>
          </cell>
          <cell r="T169">
            <v>0.50060004502974187</v>
          </cell>
        </row>
        <row r="170">
          <cell r="I170">
            <v>105058.89170897703</v>
          </cell>
          <cell r="J170">
            <v>13502.440287091593</v>
          </cell>
          <cell r="K170">
            <v>407.63877802203899</v>
          </cell>
          <cell r="L170">
            <v>0</v>
          </cell>
          <cell r="M170">
            <v>0</v>
          </cell>
          <cell r="N170">
            <v>186.10120439563224</v>
          </cell>
          <cell r="P170">
            <v>106.49649293841425</v>
          </cell>
          <cell r="Q170">
            <v>44311.70892863928</v>
          </cell>
          <cell r="S170">
            <v>0</v>
          </cell>
          <cell r="T170">
            <v>14627.418227663557</v>
          </cell>
        </row>
        <row r="171">
          <cell r="I171">
            <v>10406.282428054114</v>
          </cell>
          <cell r="J171">
            <v>1337.4423126853237</v>
          </cell>
          <cell r="K171">
            <v>40.377393895177818</v>
          </cell>
          <cell r="L171">
            <v>0</v>
          </cell>
          <cell r="M171">
            <v>0</v>
          </cell>
          <cell r="N171">
            <v>18.433677165628197</v>
          </cell>
          <cell r="P171">
            <v>10.548679555694509</v>
          </cell>
          <cell r="Q171">
            <v>4389.1587897052423</v>
          </cell>
          <cell r="S171">
            <v>0</v>
          </cell>
          <cell r="T171">
            <v>1448.8735107923017</v>
          </cell>
        </row>
        <row r="172">
          <cell r="I172">
            <v>91.803211624067004</v>
          </cell>
          <cell r="J172">
            <v>11.798786023280309</v>
          </cell>
          <cell r="K172">
            <v>0.35620544245409796</v>
          </cell>
          <cell r="L172">
            <v>0</v>
          </cell>
          <cell r="M172">
            <v>0</v>
          </cell>
          <cell r="N172">
            <v>0.16262010737703347</v>
          </cell>
          <cell r="P172">
            <v>9.3059425236738949E-2</v>
          </cell>
          <cell r="Q172">
            <v>38.720732020175454</v>
          </cell>
          <cell r="S172">
            <v>0</v>
          </cell>
          <cell r="T172">
            <v>12.781821216882209</v>
          </cell>
        </row>
        <row r="173">
          <cell r="I173">
            <v>3174.4533042323242</v>
          </cell>
          <cell r="J173">
            <v>407.98894303293935</v>
          </cell>
          <cell r="K173">
            <v>12.317189385643566</v>
          </cell>
          <cell r="L173">
            <v>0</v>
          </cell>
          <cell r="M173">
            <v>0</v>
          </cell>
          <cell r="N173">
            <v>5.6232230666569105</v>
          </cell>
          <cell r="P173">
            <v>3.2178917785843768</v>
          </cell>
          <cell r="Q173">
            <v>1338.9199955997676</v>
          </cell>
          <cell r="S173">
            <v>0</v>
          </cell>
          <cell r="T173">
            <v>441.98121044167692</v>
          </cell>
        </row>
        <row r="174">
          <cell r="I174">
            <v>1783.2395947485043</v>
          </cell>
          <cell r="J174">
            <v>229.18656149893195</v>
          </cell>
          <cell r="K174">
            <v>6.9191440867035432</v>
          </cell>
          <cell r="L174">
            <v>0</v>
          </cell>
          <cell r="M174">
            <v>0</v>
          </cell>
          <cell r="N174">
            <v>3.1588286427765437</v>
          </cell>
          <cell r="P174">
            <v>1.8076410270508076</v>
          </cell>
          <cell r="Q174">
            <v>752.13427999420333</v>
          </cell>
          <cell r="S174">
            <v>0</v>
          </cell>
          <cell r="T174">
            <v>248.28161546546019</v>
          </cell>
        </row>
        <row r="175">
          <cell r="I175">
            <v>42.301299866100749</v>
          </cell>
          <cell r="J175">
            <v>5.436672386479934</v>
          </cell>
          <cell r="K175">
            <v>0.16413318192930954</v>
          </cell>
          <cell r="L175">
            <v>0</v>
          </cell>
          <cell r="M175">
            <v>0</v>
          </cell>
          <cell r="N175">
            <v>7.4932475724084541E-2</v>
          </cell>
          <cell r="P175">
            <v>4.2880140930432138E-2</v>
          </cell>
          <cell r="Q175">
            <v>17.841830010563289</v>
          </cell>
          <cell r="S175">
            <v>0</v>
          </cell>
          <cell r="T175">
            <v>5.8896376560804029</v>
          </cell>
        </row>
        <row r="176">
          <cell r="I176">
            <v>7107.207749764606</v>
          </cell>
          <cell r="J176">
            <v>913.43670857467532</v>
          </cell>
          <cell r="K176">
            <v>27.576661386151425</v>
          </cell>
          <cell r="L176">
            <v>0</v>
          </cell>
          <cell r="M176">
            <v>0</v>
          </cell>
          <cell r="N176">
            <v>12.589699935014133</v>
          </cell>
          <cell r="P176">
            <v>7.204461113404026</v>
          </cell>
          <cell r="Q176">
            <v>2997.6760270356872</v>
          </cell>
          <cell r="S176">
            <v>0</v>
          </cell>
          <cell r="T176">
            <v>989.54118490682117</v>
          </cell>
        </row>
        <row r="177">
          <cell r="I177">
            <v>8405.5574733564099</v>
          </cell>
          <cell r="J177">
            <v>1080.3039706349155</v>
          </cell>
          <cell r="K177">
            <v>32.614385334699335</v>
          </cell>
          <cell r="L177">
            <v>0</v>
          </cell>
          <cell r="M177">
            <v>0</v>
          </cell>
          <cell r="N177">
            <v>14.889595197154279</v>
          </cell>
          <cell r="P177">
            <v>8.5205771500466625</v>
          </cell>
          <cell r="Q177">
            <v>3545.2935975574533</v>
          </cell>
          <cell r="S177">
            <v>0</v>
          </cell>
          <cell r="T177">
            <v>1170.311266370815</v>
          </cell>
        </row>
        <row r="178">
          <cell r="I178">
            <v>60.590047203348696</v>
          </cell>
          <cell r="J178">
            <v>7.7871894615215238</v>
          </cell>
          <cell r="K178">
            <v>0.23509531083469706</v>
          </cell>
          <cell r="L178">
            <v>0</v>
          </cell>
          <cell r="M178">
            <v>0</v>
          </cell>
          <cell r="N178">
            <v>0.10732914249815854</v>
          </cell>
          <cell r="P178">
            <v>6.1419147196069751E-2</v>
          </cell>
          <cell r="Q178">
            <v>25.555652567557875</v>
          </cell>
          <cell r="S178">
            <v>0</v>
          </cell>
          <cell r="T178">
            <v>8.4359919133006454</v>
          </cell>
        </row>
        <row r="179">
          <cell r="I179">
            <v>193.70409422512282</v>
          </cell>
          <cell r="J179">
            <v>24.895350817948891</v>
          </cell>
          <cell r="K179">
            <v>0.75159083618096023</v>
          </cell>
          <cell r="L179">
            <v>0</v>
          </cell>
          <cell r="M179">
            <v>0</v>
          </cell>
          <cell r="N179">
            <v>0.34312721793713846</v>
          </cell>
          <cell r="P179">
            <v>0.19635469561140481</v>
          </cell>
          <cell r="Q179">
            <v>81.700456781574218</v>
          </cell>
          <cell r="S179">
            <v>0</v>
          </cell>
          <cell r="T179">
            <v>26.969547770315145</v>
          </cell>
        </row>
        <row r="180">
          <cell r="I180">
            <v>1749.9826933055992</v>
          </cell>
          <cell r="J180">
            <v>224.91229857304444</v>
          </cell>
          <cell r="K180">
            <v>6.7901040554938223</v>
          </cell>
          <cell r="L180">
            <v>0</v>
          </cell>
          <cell r="M180">
            <v>0</v>
          </cell>
          <cell r="N180">
            <v>3.0999174044004918</v>
          </cell>
          <cell r="P180">
            <v>1.7739290459699595</v>
          </cell>
          <cell r="Q180">
            <v>738.1071937320653</v>
          </cell>
          <cell r="S180">
            <v>0</v>
          </cell>
          <cell r="T180">
            <v>243.65123531915987</v>
          </cell>
        </row>
        <row r="181">
          <cell r="I181">
            <v>1.717071551753808</v>
          </cell>
          <cell r="J181">
            <v>0.22068247360197898</v>
          </cell>
          <cell r="K181">
            <v>6.6624056064882317E-3</v>
          </cell>
          <cell r="L181">
            <v>0</v>
          </cell>
          <cell r="M181">
            <v>0</v>
          </cell>
          <cell r="N181">
            <v>3.0416186447125458E-3</v>
          </cell>
          <cell r="P181">
            <v>1.7405675560774672E-3</v>
          </cell>
          <cell r="Q181">
            <v>0.72422594197669732</v>
          </cell>
          <cell r="S181">
            <v>0</v>
          </cell>
          <cell r="T181">
            <v>0.2390689955487135</v>
          </cell>
        </row>
        <row r="182">
          <cell r="I182">
            <v>4.4839213168528378</v>
          </cell>
          <cell r="J182">
            <v>0.57628515633436128</v>
          </cell>
          <cell r="K182">
            <v>1.7398053383354702E-2</v>
          </cell>
          <cell r="L182">
            <v>0</v>
          </cell>
          <cell r="M182">
            <v>0</v>
          </cell>
          <cell r="N182">
            <v>7.9428132536663709E-3</v>
          </cell>
          <cell r="P182">
            <v>4.5452782443146638E-3</v>
          </cell>
          <cell r="Q182">
            <v>1.8912270348491256</v>
          </cell>
          <cell r="S182">
            <v>0</v>
          </cell>
          <cell r="T182">
            <v>0.62429929856130451</v>
          </cell>
        </row>
        <row r="183">
          <cell r="I183">
            <v>2.0548069635085917</v>
          </cell>
          <cell r="J183">
            <v>0.26408910159770915</v>
          </cell>
          <cell r="K183">
            <v>7.9728520456517089E-3</v>
          </cell>
          <cell r="L183">
            <v>0</v>
          </cell>
          <cell r="M183">
            <v>0</v>
          </cell>
          <cell r="N183">
            <v>3.6398827789728676E-3</v>
          </cell>
          <cell r="P183">
            <v>2.0829244599807509E-3</v>
          </cell>
          <cell r="Q183">
            <v>0.86667588616636515</v>
          </cell>
          <cell r="S183">
            <v>0</v>
          </cell>
          <cell r="T183">
            <v>0.28609211789150568</v>
          </cell>
        </row>
        <row r="184">
          <cell r="I184">
            <v>14.892305555814211</v>
          </cell>
          <cell r="J184">
            <v>1.9139975991896161</v>
          </cell>
          <cell r="K184">
            <v>5.7783602510478468E-2</v>
          </cell>
          <cell r="L184">
            <v>0</v>
          </cell>
          <cell r="M184">
            <v>0</v>
          </cell>
          <cell r="N184">
            <v>2.6380213564807433E-2</v>
          </cell>
          <cell r="P184">
            <v>1.5096088371603849E-2</v>
          </cell>
          <cell r="Q184">
            <v>6.2812723257503214</v>
          </cell>
          <cell r="S184">
            <v>0</v>
          </cell>
          <cell r="T184">
            <v>2.0734654458613391</v>
          </cell>
        </row>
        <row r="185">
          <cell r="I185">
            <v>113.21144173974247</v>
          </cell>
          <cell r="J185">
            <v>14.55022708730711</v>
          </cell>
          <cell r="K185">
            <v>0.43927146972709347</v>
          </cell>
          <cell r="L185">
            <v>0</v>
          </cell>
          <cell r="M185">
            <v>0</v>
          </cell>
          <cell r="N185">
            <v>0.20054262248924667</v>
          </cell>
          <cell r="P185">
            <v>0.114760600551376</v>
          </cell>
          <cell r="Q185">
            <v>47.750289120310775</v>
          </cell>
          <cell r="S185">
            <v>0</v>
          </cell>
          <cell r="T185">
            <v>15.762503102271735</v>
          </cell>
        </row>
        <row r="186">
          <cell r="I186">
            <v>14.722378717688443</v>
          </cell>
          <cell r="J186">
            <v>1.8921581627778621</v>
          </cell>
          <cell r="K186">
            <v>5.7124269754155271E-2</v>
          </cell>
          <cell r="L186">
            <v>0</v>
          </cell>
          <cell r="M186">
            <v>0</v>
          </cell>
          <cell r="N186">
            <v>2.6079205351985733E-2</v>
          </cell>
          <cell r="P186">
            <v>1.4923836294486589E-2</v>
          </cell>
          <cell r="Q186">
            <v>6.2096006331624043</v>
          </cell>
          <cell r="S186">
            <v>0</v>
          </cell>
          <cell r="T186">
            <v>2.0498064210140612</v>
          </cell>
        </row>
        <row r="187">
          <cell r="I187">
            <v>29.659649173966525</v>
          </cell>
          <cell r="J187">
            <v>3.8119347671868562</v>
          </cell>
          <cell r="K187">
            <v>0.1150823404774695</v>
          </cell>
          <cell r="L187">
            <v>0</v>
          </cell>
          <cell r="M187">
            <v>0</v>
          </cell>
          <cell r="N187">
            <v>5.2539069691665566E-2</v>
          </cell>
          <cell r="P187">
            <v>3.0065504855704382E-2</v>
          </cell>
          <cell r="Q187">
            <v>12.509838241612252</v>
          </cell>
          <cell r="S187">
            <v>0</v>
          </cell>
          <cell r="T187">
            <v>4.1295323593853732</v>
          </cell>
        </row>
        <row r="188">
          <cell r="I188">
            <v>0</v>
          </cell>
          <cell r="J188">
            <v>0</v>
          </cell>
          <cell r="K188">
            <v>0</v>
          </cell>
          <cell r="L188">
            <v>0</v>
          </cell>
          <cell r="M188">
            <v>0</v>
          </cell>
          <cell r="N188">
            <v>0</v>
          </cell>
          <cell r="P188">
            <v>0</v>
          </cell>
          <cell r="Q188">
            <v>0</v>
          </cell>
          <cell r="S188">
            <v>0</v>
          </cell>
          <cell r="T188">
            <v>0</v>
          </cell>
        </row>
        <row r="189">
          <cell r="I189">
            <v>337.04495696186365</v>
          </cell>
          <cell r="J189">
            <v>43.31788896126394</v>
          </cell>
          <cell r="K189">
            <v>1.3077674070179153</v>
          </cell>
          <cell r="L189">
            <v>0</v>
          </cell>
          <cell r="M189">
            <v>0</v>
          </cell>
          <cell r="N189">
            <v>0.59704106340498553</v>
          </cell>
          <cell r="P189">
            <v>0.34165700108894426</v>
          </cell>
          <cell r="Q189">
            <v>142.15872436700846</v>
          </cell>
          <cell r="S189">
            <v>0</v>
          </cell>
          <cell r="T189">
            <v>46.926989870242267</v>
          </cell>
        </row>
        <row r="190">
          <cell r="I190">
            <v>82.223260712860494</v>
          </cell>
          <cell r="J190">
            <v>10.567545972793638</v>
          </cell>
          <cell r="K190">
            <v>0.31903429568650205</v>
          </cell>
          <cell r="L190">
            <v>0</v>
          </cell>
          <cell r="M190">
            <v>0</v>
          </cell>
          <cell r="N190">
            <v>0.1456501929449909</v>
          </cell>
          <cell r="P190">
            <v>8.334838452452778E-2</v>
          </cell>
          <cell r="Q190">
            <v>34.680103098408878</v>
          </cell>
          <cell r="S190">
            <v>0</v>
          </cell>
          <cell r="T190">
            <v>11.447998383809901</v>
          </cell>
        </row>
        <row r="191">
          <cell r="I191">
            <v>0.61260794855858569</v>
          </cell>
          <cell r="J191">
            <v>7.8733956833690694E-2</v>
          </cell>
          <cell r="K191">
            <v>2.3769787734746473E-3</v>
          </cell>
          <cell r="L191">
            <v>0</v>
          </cell>
          <cell r="M191">
            <v>0</v>
          </cell>
          <cell r="N191">
            <v>1.0851730414680237E-3</v>
          </cell>
          <cell r="P191">
            <v>6.2099073202112609E-4</v>
          </cell>
          <cell r="Q191">
            <v>0.25838560318240394</v>
          </cell>
          <cell r="S191">
            <v>0</v>
          </cell>
          <cell r="T191">
            <v>8.5293805477977949E-2</v>
          </cell>
        </row>
        <row r="192">
          <cell r="I192">
            <v>3.7925901031657674E-2</v>
          </cell>
          <cell r="J192">
            <v>4.874334820061178E-3</v>
          </cell>
          <cell r="K192">
            <v>1.471562063947482E-4</v>
          </cell>
          <cell r="L192">
            <v>0</v>
          </cell>
          <cell r="M192">
            <v>0</v>
          </cell>
          <cell r="N192">
            <v>6.7181899075544434E-5</v>
          </cell>
          <cell r="P192">
            <v>3.8444870164719332E-5</v>
          </cell>
          <cell r="Q192">
            <v>1.5996375556925811E-2</v>
          </cell>
          <cell r="S192">
            <v>0</v>
          </cell>
          <cell r="T192">
            <v>5.2804480137460938E-3</v>
          </cell>
        </row>
        <row r="193">
          <cell r="I193">
            <v>654.26479302817654</v>
          </cell>
          <cell r="J193">
            <v>84.087802147016518</v>
          </cell>
          <cell r="K193">
            <v>2.5386114054167108</v>
          </cell>
          <cell r="L193">
            <v>0</v>
          </cell>
          <cell r="M193">
            <v>0</v>
          </cell>
          <cell r="N193">
            <v>1.1589639296166179</v>
          </cell>
          <cell r="P193">
            <v>0.6632175989785789</v>
          </cell>
          <cell r="Q193">
            <v>275.95561498240829</v>
          </cell>
          <cell r="S193">
            <v>0</v>
          </cell>
          <cell r="T193">
            <v>91.093715187565849</v>
          </cell>
        </row>
        <row r="194">
          <cell r="I194">
            <v>3.1232132218952089E-3</v>
          </cell>
          <cell r="J194">
            <v>4.0140343522100549E-4</v>
          </cell>
          <cell r="K194">
            <v>1.2118372853221818E-5</v>
          </cell>
          <cell r="L194">
            <v>0</v>
          </cell>
          <cell r="M194">
            <v>0</v>
          </cell>
          <cell r="N194">
            <v>5.5324564415654909E-6</v>
          </cell>
          <cell r="P194">
            <v>3.1659505389804548E-6</v>
          </cell>
          <cell r="Q194">
            <v>1.3173079685065122E-3</v>
          </cell>
          <cell r="S194">
            <v>0</v>
          </cell>
          <cell r="T194">
            <v>4.3484702025393794E-4</v>
          </cell>
        </row>
        <row r="195">
          <cell r="I195">
            <v>0.12137490008159844</v>
          </cell>
          <cell r="J195">
            <v>1.5599415851856499E-2</v>
          </cell>
          <cell r="K195">
            <v>4.7094648674636796E-4</v>
          </cell>
          <cell r="L195">
            <v>0</v>
          </cell>
          <cell r="M195">
            <v>0</v>
          </cell>
          <cell r="N195">
            <v>2.1500336355304323E-4</v>
          </cell>
          <cell r="P195">
            <v>1.2303576574219835E-4</v>
          </cell>
          <cell r="Q195">
            <v>5.1193470216275856E-2</v>
          </cell>
          <cell r="S195">
            <v>0</v>
          </cell>
          <cell r="T195">
            <v>1.6899106748169822E-2</v>
          </cell>
        </row>
        <row r="196">
          <cell r="I196">
            <v>0</v>
          </cell>
          <cell r="J196">
            <v>0</v>
          </cell>
          <cell r="K196">
            <v>0</v>
          </cell>
          <cell r="L196">
            <v>0</v>
          </cell>
          <cell r="M196">
            <v>0</v>
          </cell>
          <cell r="N196">
            <v>0</v>
          </cell>
          <cell r="P196">
            <v>0</v>
          </cell>
          <cell r="Q196">
            <v>0</v>
          </cell>
          <cell r="S196">
            <v>0</v>
          </cell>
          <cell r="T196">
            <v>0</v>
          </cell>
        </row>
        <row r="197">
          <cell r="I197">
            <v>0</v>
          </cell>
          <cell r="J197">
            <v>0</v>
          </cell>
          <cell r="K197">
            <v>0</v>
          </cell>
          <cell r="L197">
            <v>0</v>
          </cell>
          <cell r="M197">
            <v>0</v>
          </cell>
          <cell r="N197">
            <v>0</v>
          </cell>
          <cell r="P197">
            <v>0</v>
          </cell>
          <cell r="Q197">
            <v>0</v>
          </cell>
          <cell r="S197">
            <v>0</v>
          </cell>
          <cell r="T197">
            <v>0</v>
          </cell>
        </row>
        <row r="198">
          <cell r="I198">
            <v>13.172630104500566</v>
          </cell>
          <cell r="J198">
            <v>1.6929804656864287</v>
          </cell>
          <cell r="K198">
            <v>5.1111093518951621E-2</v>
          </cell>
          <cell r="L198">
            <v>0</v>
          </cell>
          <cell r="M198">
            <v>0</v>
          </cell>
          <cell r="N198">
            <v>2.3333982375299024E-2</v>
          </cell>
          <cell r="P198">
            <v>1.3352881284815788E-2</v>
          </cell>
          <cell r="Q198">
            <v>5.5559481117711496</v>
          </cell>
          <cell r="S198">
            <v>0</v>
          </cell>
          <cell r="T198">
            <v>1.8340339076733017</v>
          </cell>
        </row>
        <row r="199">
          <cell r="I199">
            <v>0.48425518224868919</v>
          </cell>
          <cell r="J199">
            <v>6.223772757988149E-2</v>
          </cell>
          <cell r="K199">
            <v>1.8789574830992434E-3</v>
          </cell>
          <cell r="L199">
            <v>0</v>
          </cell>
          <cell r="M199">
            <v>0</v>
          </cell>
          <cell r="N199">
            <v>8.578090934078154E-4</v>
          </cell>
          <cell r="P199">
            <v>4.90881616566029E-4</v>
          </cell>
          <cell r="Q199">
            <v>0.20424901056856987</v>
          </cell>
          <cell r="S199">
            <v>0</v>
          </cell>
          <cell r="T199">
            <v>6.7423165849557071E-2</v>
          </cell>
        </row>
        <row r="200">
          <cell r="I200">
            <v>5.1840918181262777E-5</v>
          </cell>
          <cell r="J200">
            <v>6.662728787483395E-6</v>
          </cell>
          <cell r="K200">
            <v>2.0114783427840745E-7</v>
          </cell>
          <cell r="L200">
            <v>0</v>
          </cell>
          <cell r="M200">
            <v>0</v>
          </cell>
          <cell r="N200">
            <v>9.1830945040171844E-8</v>
          </cell>
          <cell r="P200">
            <v>5.255029714481575E-8</v>
          </cell>
          <cell r="Q200">
            <v>2.1865447461647215E-5</v>
          </cell>
          <cell r="S200">
            <v>0</v>
          </cell>
          <cell r="T200">
            <v>7.21784495541774E-6</v>
          </cell>
        </row>
        <row r="201">
          <cell r="I201">
            <v>1.2176810616204272</v>
          </cell>
          <cell r="J201">
            <v>0.15649951713556118</v>
          </cell>
          <cell r="K201">
            <v>4.7247216480689001E-3</v>
          </cell>
          <cell r="L201">
            <v>0</v>
          </cell>
          <cell r="M201">
            <v>0</v>
          </cell>
          <cell r="N201">
            <v>2.1569988836837328E-3</v>
          </cell>
          <cell r="P201">
            <v>1.2343435236240919E-3</v>
          </cell>
          <cell r="Q201">
            <v>0.51359316563045665</v>
          </cell>
          <cell r="S201">
            <v>0</v>
          </cell>
          <cell r="T201">
            <v>0.16953853088006063</v>
          </cell>
        </row>
        <row r="202">
          <cell r="I202">
            <v>0.24849093794808624</v>
          </cell>
          <cell r="J202">
            <v>3.193669756979476E-2</v>
          </cell>
          <cell r="K202">
            <v>9.6416914976890839E-4</v>
          </cell>
          <cell r="L202">
            <v>0</v>
          </cell>
          <cell r="M202">
            <v>0</v>
          </cell>
          <cell r="N202">
            <v>4.4017657221856726E-4</v>
          </cell>
          <cell r="P202">
            <v>2.5189122965197877E-4</v>
          </cell>
          <cell r="Q202">
            <v>0.10480843586530332</v>
          </cell>
          <cell r="S202">
            <v>0</v>
          </cell>
          <cell r="T202">
            <v>3.4597555866282451E-2</v>
          </cell>
        </row>
        <row r="203">
          <cell r="I203">
            <v>3.7931025491895722</v>
          </cell>
          <cell r="J203">
            <v>0.48749934289351365</v>
          </cell>
          <cell r="K203">
            <v>1.4717608980181141E-2</v>
          </cell>
          <cell r="L203">
            <v>0</v>
          </cell>
          <cell r="M203">
            <v>0</v>
          </cell>
          <cell r="N203">
            <v>6.719097653873355E-3</v>
          </cell>
          <cell r="P203">
            <v>3.8450064746869184E-3</v>
          </cell>
          <cell r="Q203">
            <v>1.5998536950281392</v>
          </cell>
          <cell r="S203">
            <v>0</v>
          </cell>
          <cell r="T203">
            <v>0.52811614956977271</v>
          </cell>
        </row>
        <row r="204">
          <cell r="I204">
            <v>0.78539741827955112</v>
          </cell>
          <cell r="J204">
            <v>0.10094130605652855</v>
          </cell>
          <cell r="K204">
            <v>3.0474188204460545E-3</v>
          </cell>
          <cell r="L204">
            <v>0</v>
          </cell>
          <cell r="M204">
            <v>0</v>
          </cell>
          <cell r="N204">
            <v>1.3912521167264069E-3</v>
          </cell>
          <cell r="P204">
            <v>7.9614461231281009E-4</v>
          </cell>
          <cell r="Q204">
            <v>0.33126469569576156</v>
          </cell>
          <cell r="S204">
            <v>0</v>
          </cell>
          <cell r="T204">
            <v>0.10935139639513786</v>
          </cell>
        </row>
      </sheetData>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 val="Dropdown"/>
      <sheetName val="Info"/>
      <sheetName val="ค่าใช้จ่ายพลังงานอุตสาหกรรม_AVG"/>
      <sheetName val="EF"/>
      <sheetName val="ค่าไฟฟ้าในธุรกิจการค้า"/>
      <sheetName val="ค่าไฟฟ้าในอุตสาหกรรมการผลิต_AVG"/>
      <sheetName val="ค่าเชื้อเพลิงในธุรกิจการค้า"/>
      <sheetName val="ค่าใช้จ่ายพลังงานครัวเรือน"/>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 val="Lists"/>
      <sheetName val="Data sources"/>
      <sheetName val="Emission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 (2)"/>
      <sheetName val=" Summary_GPC"/>
      <sheetName val="Input Activity Data"/>
      <sheetName val="Energy1"/>
      <sheetName val="Energy2"/>
      <sheetName val="III.1 Landfill "/>
      <sheetName val="III.2.3Disposal waste "/>
      <sheetName val="III.4 Wastewater"/>
      <sheetName val="V.2 การใช้ที่ดิน"/>
      <sheetName val="V.3 นาข้าว"/>
      <sheetName val="EF_Stationary"/>
      <sheetName val="EF_Waste"/>
      <sheetName val="EF_Agricuture"/>
      <sheetName val="EF_Manure"/>
      <sheetName val="EF_Fores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0"/>
      <sheetName val=" Summary_GPC_61"/>
      <sheetName val="Input Activity Data"/>
      <sheetName val="Energy1,3"/>
      <sheetName val="Energy2"/>
      <sheetName val="III.1 Landfill  (2)"/>
      <sheetName val="III.1 Landfill "/>
      <sheetName val="III.2.3Disposal waste "/>
      <sheetName val="V.2 การใช้ที่ดิน"/>
      <sheetName val="V.3 นาข้าว"/>
      <sheetName val="V.3 เผาพื้นที่เกษตร"/>
      <sheetName val="EF_Stationary"/>
      <sheetName val="III.4 Wastewater"/>
      <sheetName val="EF_Waste"/>
      <sheetName val="EF_Agricuture"/>
      <sheetName val="EF_Manure"/>
      <sheetName val="Sheet1"/>
      <sheetName val="EF_Forest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thaicarbonlabel.tgo.or.th/admin/uploadfiles/download/ts_73d0f28555.pdf"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41"/>
  <sheetViews>
    <sheetView zoomScale="90" zoomScaleNormal="90" workbookViewId="0">
      <selection activeCell="B19" sqref="B19"/>
    </sheetView>
  </sheetViews>
  <sheetFormatPr defaultColWidth="9.33203125" defaultRowHeight="13.2"/>
  <cols>
    <col min="1" max="1" width="7.44140625" style="1288" customWidth="1"/>
    <col min="2" max="2" width="35.44140625" style="1288" customWidth="1"/>
    <col min="3" max="3" width="25.44140625" style="1288" customWidth="1"/>
    <col min="4" max="4" width="10.44140625" style="1288" customWidth="1"/>
    <col min="5" max="5" width="35.44140625" style="1288" customWidth="1"/>
    <col min="6" max="6" width="25.44140625" style="1288" customWidth="1"/>
    <col min="7" max="16" width="30.44140625" style="1288" customWidth="1"/>
    <col min="17" max="26" width="7.44140625" style="1288" customWidth="1"/>
    <col min="27" max="69" width="7.6640625" style="1288" customWidth="1"/>
    <col min="70" max="16384" width="9.33203125" style="1288"/>
  </cols>
  <sheetData>
    <row r="2" spans="2:6">
      <c r="B2" s="1289" t="s">
        <v>113</v>
      </c>
    </row>
    <row r="3" spans="2:6">
      <c r="B3" s="303" t="s">
        <v>114</v>
      </c>
      <c r="C3" s="1784" t="s">
        <v>115</v>
      </c>
      <c r="D3" s="1877" t="s">
        <v>116</v>
      </c>
      <c r="E3" s="1877"/>
      <c r="F3" s="1877"/>
    </row>
    <row r="4" spans="2:6">
      <c r="B4" s="302" t="s">
        <v>2578</v>
      </c>
      <c r="C4" s="1786"/>
      <c r="D4" s="1874"/>
      <c r="E4" s="1875"/>
      <c r="F4" s="1876"/>
    </row>
    <row r="5" spans="2:6">
      <c r="B5" s="302" t="s">
        <v>117</v>
      </c>
      <c r="C5" s="1787">
        <v>2562</v>
      </c>
      <c r="D5" s="1874"/>
      <c r="E5" s="1875"/>
      <c r="F5" s="1876"/>
    </row>
    <row r="6" spans="2:6">
      <c r="B6" s="302" t="s">
        <v>118</v>
      </c>
      <c r="C6" s="1786"/>
      <c r="D6" s="1874"/>
      <c r="E6" s="1875"/>
      <c r="F6" s="1876"/>
    </row>
    <row r="7" spans="2:6">
      <c r="B7" s="302" t="s">
        <v>119</v>
      </c>
      <c r="C7" s="1786"/>
      <c r="D7" s="1874"/>
      <c r="E7" s="1875"/>
      <c r="F7" s="1876"/>
    </row>
    <row r="8" spans="2:6">
      <c r="B8" s="302" t="s">
        <v>120</v>
      </c>
      <c r="C8" s="1786"/>
      <c r="D8" s="1874"/>
      <c r="E8" s="1875"/>
      <c r="F8" s="1876"/>
    </row>
    <row r="9" spans="2:6">
      <c r="B9" s="302" t="s">
        <v>121</v>
      </c>
      <c r="C9" s="1786"/>
      <c r="D9" s="1874"/>
      <c r="E9" s="1875"/>
      <c r="F9" s="1876"/>
    </row>
    <row r="10" spans="2:6">
      <c r="B10" s="302" t="s">
        <v>122</v>
      </c>
      <c r="C10" s="1786"/>
      <c r="D10" s="1874"/>
      <c r="E10" s="1875"/>
      <c r="F10" s="1876"/>
    </row>
    <row r="11" spans="2:6">
      <c r="B11" s="1785" t="s">
        <v>123</v>
      </c>
      <c r="C11" s="1786"/>
      <c r="D11" s="1874"/>
      <c r="E11" s="1875"/>
      <c r="F11" s="1876"/>
    </row>
    <row r="12" spans="2:6">
      <c r="B12" s="1291"/>
    </row>
    <row r="13" spans="2:6">
      <c r="B13" s="1289" t="s">
        <v>124</v>
      </c>
    </row>
    <row r="14" spans="2:6">
      <c r="B14" s="303" t="s">
        <v>125</v>
      </c>
      <c r="C14" s="1886" t="s">
        <v>115</v>
      </c>
      <c r="D14" s="1877"/>
      <c r="E14" s="1877"/>
      <c r="F14" s="1877"/>
    </row>
    <row r="15" spans="2:6" ht="14.7" customHeight="1">
      <c r="B15" s="304" t="s">
        <v>126</v>
      </c>
      <c r="C15" s="1887"/>
      <c r="D15" s="1887"/>
      <c r="E15" s="1887"/>
      <c r="F15" s="1887"/>
    </row>
    <row r="16" spans="2:6" ht="14.7" customHeight="1">
      <c r="B16" s="304" t="s">
        <v>2291</v>
      </c>
      <c r="C16" s="1887"/>
      <c r="D16" s="1887"/>
      <c r="E16" s="1887"/>
      <c r="F16" s="1887"/>
    </row>
    <row r="17" spans="2:9">
      <c r="B17" s="304" t="s">
        <v>127</v>
      </c>
      <c r="C17" s="1887"/>
      <c r="D17" s="1887"/>
      <c r="E17" s="1887"/>
      <c r="F17" s="1887"/>
    </row>
    <row r="18" spans="2:9">
      <c r="B18" s="304" t="s">
        <v>128</v>
      </c>
      <c r="C18" s="1887"/>
      <c r="D18" s="1887"/>
      <c r="E18" s="1887"/>
      <c r="F18" s="1887"/>
    </row>
    <row r="19" spans="2:9">
      <c r="B19" s="304" t="s">
        <v>2579</v>
      </c>
      <c r="C19" s="1887"/>
      <c r="D19" s="1887"/>
      <c r="E19" s="1887"/>
      <c r="F19" s="1887"/>
    </row>
    <row r="21" spans="2:9" ht="13.8" thickBot="1">
      <c r="B21" s="1289" t="s">
        <v>129</v>
      </c>
      <c r="G21" s="1878"/>
      <c r="H21" s="1878"/>
      <c r="I21" s="1878"/>
    </row>
    <row r="22" spans="2:9">
      <c r="B22" s="1879" t="s">
        <v>130</v>
      </c>
      <c r="C22" s="1883"/>
      <c r="E22" s="1879" t="s">
        <v>131</v>
      </c>
      <c r="F22" s="1883"/>
      <c r="G22" s="1878"/>
      <c r="H22" s="1878"/>
      <c r="I22" s="1878"/>
    </row>
    <row r="23" spans="2:9">
      <c r="B23" s="1881"/>
      <c r="C23" s="1884"/>
      <c r="E23" s="1880"/>
      <c r="F23" s="1884"/>
      <c r="G23" s="1290"/>
    </row>
    <row r="24" spans="2:9">
      <c r="B24" s="1881"/>
      <c r="C24" s="1884"/>
      <c r="E24" s="1881"/>
      <c r="F24" s="1884"/>
      <c r="G24" s="1290"/>
    </row>
    <row r="25" spans="2:9">
      <c r="B25" s="1881"/>
      <c r="C25" s="1884"/>
      <c r="E25" s="1881"/>
      <c r="F25" s="1884"/>
      <c r="G25" s="1290"/>
    </row>
    <row r="26" spans="2:9" ht="13.8" thickBot="1">
      <c r="B26" s="1882"/>
      <c r="C26" s="1885"/>
      <c r="E26" s="1882"/>
      <c r="F26" s="1885"/>
      <c r="G26" s="1290"/>
    </row>
    <row r="27" spans="2:9" ht="13.8" thickBot="1">
      <c r="B27" s="300"/>
      <c r="C27" s="300"/>
      <c r="E27" s="300"/>
      <c r="F27" s="300"/>
      <c r="G27" s="1290"/>
    </row>
    <row r="28" spans="2:9">
      <c r="B28" s="1879" t="s">
        <v>132</v>
      </c>
      <c r="C28" s="1883"/>
      <c r="E28" s="1879" t="s">
        <v>133</v>
      </c>
      <c r="F28" s="1883"/>
      <c r="G28" s="1290"/>
      <c r="H28" s="1290"/>
    </row>
    <row r="29" spans="2:9">
      <c r="B29" s="1881"/>
      <c r="C29" s="1884"/>
      <c r="E29" s="1881"/>
      <c r="F29" s="1884"/>
      <c r="G29" s="1290"/>
    </row>
    <row r="30" spans="2:9">
      <c r="B30" s="1881"/>
      <c r="C30" s="1884"/>
      <c r="E30" s="1881"/>
      <c r="F30" s="1884"/>
      <c r="G30" s="1290"/>
    </row>
    <row r="31" spans="2:9">
      <c r="B31" s="1881"/>
      <c r="C31" s="1884"/>
      <c r="E31" s="1881"/>
      <c r="F31" s="1884"/>
      <c r="G31" s="1290"/>
    </row>
    <row r="32" spans="2:9" ht="13.8" thickBot="1">
      <c r="B32" s="1882"/>
      <c r="C32" s="1885"/>
      <c r="E32" s="1882"/>
      <c r="F32" s="1885"/>
    </row>
    <row r="33" spans="2:6" ht="13.8" thickBot="1">
      <c r="B33" s="300"/>
      <c r="C33" s="300"/>
      <c r="E33" s="300"/>
      <c r="F33" s="300"/>
    </row>
    <row r="34" spans="2:6">
      <c r="B34" s="1879" t="s">
        <v>134</v>
      </c>
      <c r="C34" s="1883"/>
      <c r="E34" s="1888" t="s">
        <v>40</v>
      </c>
      <c r="F34" s="1883" t="s">
        <v>135</v>
      </c>
    </row>
    <row r="35" spans="2:6">
      <c r="B35" s="1881"/>
      <c r="C35" s="1884"/>
      <c r="E35" s="1881"/>
      <c r="F35" s="1884"/>
    </row>
    <row r="36" spans="2:6">
      <c r="B36" s="1881"/>
      <c r="C36" s="1884"/>
      <c r="E36" s="1881"/>
      <c r="F36" s="1884"/>
    </row>
    <row r="37" spans="2:6">
      <c r="B37" s="1881"/>
      <c r="C37" s="1884"/>
      <c r="E37" s="1881"/>
      <c r="F37" s="1884"/>
    </row>
    <row r="38" spans="2:6" ht="13.8" thickBot="1">
      <c r="B38" s="1882"/>
      <c r="C38" s="1885"/>
      <c r="E38" s="1882"/>
      <c r="F38" s="1885"/>
    </row>
    <row r="41" spans="2:6">
      <c r="B41" s="301"/>
      <c r="C41" s="301"/>
      <c r="D41" s="301"/>
      <c r="E41" s="301"/>
      <c r="F41" s="301"/>
    </row>
  </sheetData>
  <mergeCells count="28">
    <mergeCell ref="D7:F7"/>
    <mergeCell ref="B34:B38"/>
    <mergeCell ref="C34:C38"/>
    <mergeCell ref="E34:E38"/>
    <mergeCell ref="F34:F38"/>
    <mergeCell ref="B28:B32"/>
    <mergeCell ref="C28:C32"/>
    <mergeCell ref="E28:E32"/>
    <mergeCell ref="F28:F32"/>
    <mergeCell ref="B22:B26"/>
    <mergeCell ref="C22:C26"/>
    <mergeCell ref="C16:F16"/>
    <mergeCell ref="D4:F4"/>
    <mergeCell ref="D3:F3"/>
    <mergeCell ref="D5:F5"/>
    <mergeCell ref="D6:F6"/>
    <mergeCell ref="G21:I22"/>
    <mergeCell ref="D10:F10"/>
    <mergeCell ref="E22:E26"/>
    <mergeCell ref="F22:F26"/>
    <mergeCell ref="D11:F11"/>
    <mergeCell ref="C14:F14"/>
    <mergeCell ref="C15:F15"/>
    <mergeCell ref="C17:F17"/>
    <mergeCell ref="C18:F18"/>
    <mergeCell ref="C19:F19"/>
    <mergeCell ref="D8:F8"/>
    <mergeCell ref="D9:F9"/>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T82"/>
  <sheetViews>
    <sheetView zoomScale="55" zoomScaleNormal="55" workbookViewId="0">
      <pane xSplit="2" ySplit="9" topLeftCell="C10" activePane="bottomRight" state="frozen"/>
      <selection activeCell="O13" sqref="O13"/>
      <selection pane="topRight" activeCell="O13" sqref="O13"/>
      <selection pane="bottomLeft" activeCell="O13" sqref="O13"/>
      <selection pane="bottomRight" activeCell="U54" sqref="U54:V54"/>
    </sheetView>
  </sheetViews>
  <sheetFormatPr defaultColWidth="9.33203125" defaultRowHeight="13.2"/>
  <cols>
    <col min="1" max="1" width="5.6640625" style="1264" customWidth="1"/>
    <col min="2" max="10" width="15.6640625" style="1264" customWidth="1"/>
    <col min="11" max="11" width="9.33203125" style="1264"/>
    <col min="12" max="20" width="15.6640625" style="1264" customWidth="1"/>
    <col min="21" max="16384" width="9.33203125" style="1264"/>
  </cols>
  <sheetData>
    <row r="1" spans="1:20" s="123" customFormat="1">
      <c r="A1" s="122" t="s">
        <v>473</v>
      </c>
      <c r="B1" s="122"/>
      <c r="C1" s="122"/>
      <c r="D1" s="122"/>
      <c r="E1" s="684"/>
      <c r="F1" s="122"/>
      <c r="G1" s="122"/>
      <c r="H1" s="122"/>
      <c r="I1" s="122"/>
      <c r="J1" s="122"/>
    </row>
    <row r="2" spans="1:20" s="99" customFormat="1">
      <c r="E2" s="103"/>
    </row>
    <row r="3" spans="1:20" s="99" customFormat="1">
      <c r="A3" s="120" t="s">
        <v>254</v>
      </c>
      <c r="B3" s="1413">
        <f>'City information'!$C$4</f>
        <v>0</v>
      </c>
      <c r="C3" s="120"/>
      <c r="D3" s="120"/>
      <c r="E3" s="685"/>
      <c r="F3" s="120"/>
      <c r="G3" s="120"/>
      <c r="H3" s="120"/>
      <c r="I3" s="120"/>
      <c r="J3" s="120"/>
    </row>
    <row r="4" spans="1:20" s="99" customFormat="1">
      <c r="A4" s="120" t="s">
        <v>140</v>
      </c>
      <c r="B4" s="1413">
        <f>'City information'!$C$5</f>
        <v>2562</v>
      </c>
      <c r="C4" s="120"/>
      <c r="D4" s="120"/>
      <c r="E4" s="685"/>
      <c r="F4" s="120"/>
      <c r="G4" s="120"/>
      <c r="H4" s="120"/>
      <c r="I4" s="120"/>
      <c r="J4" s="120"/>
    </row>
    <row r="6" spans="1:20">
      <c r="A6" s="1280"/>
      <c r="B6" s="1280" t="s">
        <v>2095</v>
      </c>
      <c r="C6" s="1280"/>
      <c r="D6" s="1280"/>
      <c r="E6" s="1280"/>
      <c r="F6" s="1280"/>
      <c r="G6" s="1280"/>
      <c r="H6" s="1280"/>
      <c r="I6" s="1280"/>
      <c r="J6" s="1280"/>
      <c r="L6" s="1280" t="s">
        <v>623</v>
      </c>
      <c r="M6" s="1280"/>
      <c r="N6" s="1280"/>
      <c r="O6" s="1280"/>
      <c r="P6" s="1280"/>
      <c r="Q6" s="1280"/>
      <c r="R6" s="1280"/>
      <c r="S6" s="1280"/>
      <c r="T6" s="1280"/>
    </row>
    <row r="8" spans="1:20" ht="24.6" customHeight="1">
      <c r="B8" s="2127" t="s">
        <v>1990</v>
      </c>
      <c r="C8" s="1656">
        <f>$B$4</f>
        <v>2562</v>
      </c>
      <c r="D8" s="2128" t="s">
        <v>1991</v>
      </c>
      <c r="E8" s="2127"/>
      <c r="F8" s="2127"/>
      <c r="G8" s="2127" t="s">
        <v>2477</v>
      </c>
      <c r="H8" s="2127"/>
      <c r="I8" s="2127"/>
      <c r="J8" s="1656">
        <f>$B$4</f>
        <v>2562</v>
      </c>
      <c r="L8" s="2127" t="s">
        <v>1990</v>
      </c>
      <c r="M8" s="1656">
        <f>$B$4</f>
        <v>2562</v>
      </c>
      <c r="N8" s="2128" t="s">
        <v>1991</v>
      </c>
      <c r="O8" s="2127"/>
      <c r="P8" s="2127"/>
      <c r="Q8" s="2127" t="s">
        <v>2477</v>
      </c>
      <c r="R8" s="2127"/>
      <c r="S8" s="2127"/>
      <c r="T8" s="1656">
        <f>$B$4</f>
        <v>2562</v>
      </c>
    </row>
    <row r="9" spans="1:20" ht="24.6" customHeight="1">
      <c r="B9" s="2127"/>
      <c r="C9" s="1277" t="s">
        <v>1992</v>
      </c>
      <c r="D9" s="1278" t="s">
        <v>2094</v>
      </c>
      <c r="E9" s="1277" t="s">
        <v>2475</v>
      </c>
      <c r="F9" s="1277" t="s">
        <v>2476</v>
      </c>
      <c r="G9" s="1278" t="s">
        <v>2094</v>
      </c>
      <c r="H9" s="1277" t="s">
        <v>2475</v>
      </c>
      <c r="I9" s="1277" t="s">
        <v>2476</v>
      </c>
      <c r="J9" s="1657" t="s">
        <v>2539</v>
      </c>
      <c r="L9" s="2127"/>
      <c r="M9" s="1277" t="s">
        <v>1992</v>
      </c>
      <c r="N9" s="1278" t="s">
        <v>2094</v>
      </c>
      <c r="O9" s="1277" t="s">
        <v>2475</v>
      </c>
      <c r="P9" s="1277" t="s">
        <v>2476</v>
      </c>
      <c r="Q9" s="1278" t="s">
        <v>2094</v>
      </c>
      <c r="R9" s="1277" t="s">
        <v>2475</v>
      </c>
      <c r="S9" s="1277" t="s">
        <v>2476</v>
      </c>
      <c r="T9" s="1657" t="s">
        <v>2539</v>
      </c>
    </row>
    <row r="10" spans="1:20">
      <c r="B10" s="1265" t="s">
        <v>1993</v>
      </c>
      <c r="C10" s="1084"/>
      <c r="D10" s="1738">
        <v>5450</v>
      </c>
      <c r="E10" s="1267">
        <v>1</v>
      </c>
      <c r="F10" s="1267">
        <v>0.2</v>
      </c>
      <c r="G10" s="1638">
        <f>$C10*D10*GPC!$F$84</f>
        <v>0</v>
      </c>
      <c r="H10" s="1638">
        <f>$C10*E10*GPC!$F$86</f>
        <v>0</v>
      </c>
      <c r="I10" s="1638">
        <f>$C10*F10*GPC!$F$87</f>
        <v>0</v>
      </c>
      <c r="J10" s="1639">
        <f>SUM(G10:I10)/1000</f>
        <v>0</v>
      </c>
      <c r="L10" s="1281" t="s">
        <v>2060</v>
      </c>
      <c r="M10" s="1084"/>
      <c r="N10" s="1738">
        <v>5450</v>
      </c>
      <c r="O10" s="1268">
        <v>1.5</v>
      </c>
      <c r="P10" s="1268">
        <v>0.2</v>
      </c>
      <c r="Q10" s="1638">
        <f>$M10*N10*GPC!$F$84</f>
        <v>0</v>
      </c>
      <c r="R10" s="1638">
        <f>$M10*O10*GPC!$F$86</f>
        <v>0</v>
      </c>
      <c r="S10" s="1638">
        <f>$M10*P10*GPC!$F$87</f>
        <v>0</v>
      </c>
      <c r="T10" s="1639">
        <f>SUM(Q10:S10)/1000</f>
        <v>0</v>
      </c>
    </row>
    <row r="11" spans="1:20">
      <c r="B11" s="1265" t="s">
        <v>1994</v>
      </c>
      <c r="C11" s="1084"/>
      <c r="D11" s="1738">
        <v>2310</v>
      </c>
      <c r="E11" s="1268">
        <v>0.3</v>
      </c>
      <c r="F11" s="1268">
        <v>0.1</v>
      </c>
      <c r="G11" s="1638">
        <f>$C11*D11*GPC!$F$84</f>
        <v>0</v>
      </c>
      <c r="H11" s="1638">
        <f>$C11*E11*GPC!$F$86</f>
        <v>0</v>
      </c>
      <c r="I11" s="1638">
        <f>$C11*F11*GPC!$F$87</f>
        <v>0</v>
      </c>
      <c r="J11" s="1639">
        <f t="shared" ref="J11:J73" si="0">SUM(G11:I11)/1000</f>
        <v>0</v>
      </c>
      <c r="L11" s="1266" t="s">
        <v>2061</v>
      </c>
      <c r="M11" s="1084"/>
      <c r="N11" s="1742">
        <v>4900</v>
      </c>
      <c r="O11" s="1267">
        <v>0.4</v>
      </c>
      <c r="P11" s="1267">
        <v>0.2</v>
      </c>
      <c r="Q11" s="1638">
        <f>$M11*N11*GPC!$F$84</f>
        <v>0</v>
      </c>
      <c r="R11" s="1638">
        <f>$M11*O11*GPC!$F$86</f>
        <v>0</v>
      </c>
      <c r="S11" s="1638">
        <f>$M11*P11*GPC!$F$87</f>
        <v>0</v>
      </c>
      <c r="T11" s="1639">
        <f t="shared" ref="T11:T74" si="1">SUM(Q11:S11)/1000</f>
        <v>0</v>
      </c>
    </row>
    <row r="12" spans="1:20">
      <c r="B12" s="1265" t="s">
        <v>1995</v>
      </c>
      <c r="C12" s="1084"/>
      <c r="D12" s="1738">
        <v>2440</v>
      </c>
      <c r="E12" s="1267">
        <v>0.04</v>
      </c>
      <c r="F12" s="1267">
        <v>0.1</v>
      </c>
      <c r="G12" s="1638">
        <f>$C12*D12*GPC!$F$84</f>
        <v>0</v>
      </c>
      <c r="H12" s="1638">
        <f>$C12*E12*GPC!$F$86</f>
        <v>0</v>
      </c>
      <c r="I12" s="1638">
        <f>$C12*F12*GPC!$F$87</f>
        <v>0</v>
      </c>
      <c r="J12" s="1639">
        <f t="shared" si="0"/>
        <v>0</v>
      </c>
      <c r="L12" s="1266" t="s">
        <v>1994</v>
      </c>
      <c r="M12" s="1084"/>
      <c r="N12" s="1738">
        <v>2310</v>
      </c>
      <c r="O12" s="1268">
        <v>1.5</v>
      </c>
      <c r="P12" s="1268">
        <v>0.2</v>
      </c>
      <c r="Q12" s="1638">
        <f>$M12*N12*GPC!$F$84</f>
        <v>0</v>
      </c>
      <c r="R12" s="1638">
        <f>$M12*O12*GPC!$F$86</f>
        <v>0</v>
      </c>
      <c r="S12" s="1638">
        <f>$M12*P12*GPC!$F$87</f>
        <v>0</v>
      </c>
      <c r="T12" s="1639">
        <f t="shared" si="1"/>
        <v>0</v>
      </c>
    </row>
    <row r="13" spans="1:20">
      <c r="B13" s="1265" t="s">
        <v>1996</v>
      </c>
      <c r="C13" s="1084"/>
      <c r="D13" s="1738">
        <v>320</v>
      </c>
      <c r="E13" s="1268">
        <v>0.3</v>
      </c>
      <c r="F13" s="1268">
        <v>0.1</v>
      </c>
      <c r="G13" s="1638">
        <f>$C13*D13*GPC!$F$84</f>
        <v>0</v>
      </c>
      <c r="H13" s="1638">
        <f>$C13*E13*GPC!$F$86</f>
        <v>0</v>
      </c>
      <c r="I13" s="1638">
        <f>$C13*F13*GPC!$F$87</f>
        <v>0</v>
      </c>
      <c r="J13" s="1639">
        <f t="shared" si="0"/>
        <v>0</v>
      </c>
      <c r="L13" s="1266" t="s">
        <v>1995</v>
      </c>
      <c r="M13" s="1084"/>
      <c r="N13" s="1738">
        <v>2440</v>
      </c>
      <c r="O13" s="1268">
        <v>1.5</v>
      </c>
      <c r="P13" s="1268">
        <v>0.2</v>
      </c>
      <c r="Q13" s="1638">
        <f>$M13*N13*GPC!$F$84</f>
        <v>0</v>
      </c>
      <c r="R13" s="1638">
        <f>$M13*O13*GPC!$F$86</f>
        <v>0</v>
      </c>
      <c r="S13" s="1638">
        <f>$M13*P13*GPC!$F$87</f>
        <v>0</v>
      </c>
      <c r="T13" s="1639">
        <f t="shared" si="1"/>
        <v>0</v>
      </c>
    </row>
    <row r="14" spans="1:20">
      <c r="B14" s="1265" t="s">
        <v>1997</v>
      </c>
      <c r="C14" s="1084"/>
      <c r="D14" s="1739">
        <v>2680</v>
      </c>
      <c r="E14" s="1268">
        <v>0.3</v>
      </c>
      <c r="F14" s="1268">
        <v>0.1</v>
      </c>
      <c r="G14" s="1638">
        <f>$C14*D14*GPC!$F$84</f>
        <v>0</v>
      </c>
      <c r="H14" s="1638">
        <f>$C14*E14*GPC!$F$86</f>
        <v>0</v>
      </c>
      <c r="I14" s="1638">
        <f>$C14*F14*GPC!$F$87</f>
        <v>0</v>
      </c>
      <c r="J14" s="1639">
        <f t="shared" si="0"/>
        <v>0</v>
      </c>
      <c r="L14" s="1266" t="s">
        <v>1996</v>
      </c>
      <c r="M14" s="1084"/>
      <c r="N14" s="1738">
        <v>320</v>
      </c>
      <c r="O14" s="1267">
        <v>0.04</v>
      </c>
      <c r="P14" s="1267">
        <v>0.1</v>
      </c>
      <c r="Q14" s="1638">
        <f>$M14*N14*GPC!$F$84</f>
        <v>0</v>
      </c>
      <c r="R14" s="1638">
        <f>$M14*O14*GPC!$F$86</f>
        <v>0</v>
      </c>
      <c r="S14" s="1638">
        <f>$M14*P14*GPC!$F$87</f>
        <v>0</v>
      </c>
      <c r="T14" s="1639">
        <f t="shared" si="1"/>
        <v>0</v>
      </c>
    </row>
    <row r="15" spans="1:20">
      <c r="B15" s="1265" t="s">
        <v>1998</v>
      </c>
      <c r="C15" s="1084"/>
      <c r="D15" s="1738">
        <v>750</v>
      </c>
      <c r="E15" s="1268">
        <v>0.3</v>
      </c>
      <c r="F15" s="1268">
        <v>0.1</v>
      </c>
      <c r="G15" s="1638">
        <f>$C15*D15*GPC!$F$84</f>
        <v>0</v>
      </c>
      <c r="H15" s="1638">
        <f>$C15*E15*GPC!$F$86</f>
        <v>0</v>
      </c>
      <c r="I15" s="1638">
        <f>$C15*F15*GPC!$F$87</f>
        <v>0</v>
      </c>
      <c r="J15" s="1639">
        <f t="shared" si="0"/>
        <v>0</v>
      </c>
      <c r="L15" s="1266" t="s">
        <v>1997</v>
      </c>
      <c r="M15" s="1084"/>
      <c r="N15" s="1739">
        <v>7900</v>
      </c>
      <c r="O15" s="1268">
        <v>1.5</v>
      </c>
      <c r="P15" s="1268">
        <v>0.2</v>
      </c>
      <c r="Q15" s="1638">
        <f>$M15*N15*GPC!$F$84</f>
        <v>0</v>
      </c>
      <c r="R15" s="1638">
        <f>$M15*O15*GPC!$F$86</f>
        <v>0</v>
      </c>
      <c r="S15" s="1638">
        <f>$M15*P15*GPC!$F$87</f>
        <v>0</v>
      </c>
      <c r="T15" s="1639">
        <f t="shared" si="1"/>
        <v>0</v>
      </c>
    </row>
    <row r="16" spans="1:20">
      <c r="B16" s="1265" t="s">
        <v>1999</v>
      </c>
      <c r="C16" s="1084"/>
      <c r="D16" s="1738">
        <v>620</v>
      </c>
      <c r="E16" s="1268">
        <v>0.3</v>
      </c>
      <c r="F16" s="1268">
        <v>0.1</v>
      </c>
      <c r="G16" s="1638">
        <f>$C16*D16*GPC!$F$84</f>
        <v>0</v>
      </c>
      <c r="H16" s="1638">
        <f>$C16*E16*GPC!$F$86</f>
        <v>0</v>
      </c>
      <c r="I16" s="1638">
        <f>$C16*F16*GPC!$F$87</f>
        <v>0</v>
      </c>
      <c r="J16" s="1639">
        <f t="shared" si="0"/>
        <v>0</v>
      </c>
      <c r="L16" s="1265" t="s">
        <v>1998</v>
      </c>
      <c r="M16" s="1084"/>
      <c r="N16" s="1738">
        <v>750</v>
      </c>
      <c r="O16" s="1268">
        <v>1.5</v>
      </c>
      <c r="P16" s="1268">
        <v>0.2</v>
      </c>
      <c r="Q16" s="1638">
        <f>$M16*N16*GPC!$F$84</f>
        <v>0</v>
      </c>
      <c r="R16" s="1638">
        <f>$M16*O16*GPC!$F$86</f>
        <v>0</v>
      </c>
      <c r="S16" s="1638">
        <f>$M16*P16*GPC!$F$87</f>
        <v>0</v>
      </c>
      <c r="T16" s="1639">
        <f t="shared" si="1"/>
        <v>0</v>
      </c>
    </row>
    <row r="17" spans="2:20">
      <c r="B17" s="1265" t="s">
        <v>2000</v>
      </c>
      <c r="C17" s="1084"/>
      <c r="D17" s="1740">
        <v>2750</v>
      </c>
      <c r="E17" s="1267">
        <v>0.5</v>
      </c>
      <c r="F17" s="1267">
        <v>0.1</v>
      </c>
      <c r="G17" s="1638">
        <f>$C17*D17*GPC!$F$84</f>
        <v>0</v>
      </c>
      <c r="H17" s="1638">
        <f>$C17*E17*GPC!$F$86</f>
        <v>0</v>
      </c>
      <c r="I17" s="1638">
        <f>$C17*F17*GPC!$F$87</f>
        <v>0</v>
      </c>
      <c r="J17" s="1639">
        <f t="shared" si="0"/>
        <v>0</v>
      </c>
      <c r="L17" s="1265" t="s">
        <v>2062</v>
      </c>
      <c r="M17" s="1084"/>
      <c r="N17" s="1738">
        <v>5890</v>
      </c>
      <c r="O17" s="1268">
        <v>1.5</v>
      </c>
      <c r="P17" s="1268">
        <v>0.2</v>
      </c>
      <c r="Q17" s="1638">
        <f>$M17*N17*GPC!$F$84</f>
        <v>0</v>
      </c>
      <c r="R17" s="1638">
        <f>$M17*O17*GPC!$F$86</f>
        <v>0</v>
      </c>
      <c r="S17" s="1638">
        <f>$M17*P17*GPC!$F$87</f>
        <v>0</v>
      </c>
      <c r="T17" s="1639">
        <f t="shared" si="1"/>
        <v>0</v>
      </c>
    </row>
    <row r="18" spans="2:20">
      <c r="B18" s="1265" t="s">
        <v>2001</v>
      </c>
      <c r="C18" s="1084"/>
      <c r="D18" s="1740">
        <v>10145</v>
      </c>
      <c r="E18" s="1267">
        <v>4.8</v>
      </c>
      <c r="F18" s="1267">
        <v>0.3</v>
      </c>
      <c r="G18" s="1638">
        <f>$C18*D18*GPC!$F$84</f>
        <v>0</v>
      </c>
      <c r="H18" s="1638">
        <f>$C18*E18*GPC!$F$86</f>
        <v>0</v>
      </c>
      <c r="I18" s="1638">
        <f>$C18*F18*GPC!$F$87</f>
        <v>0</v>
      </c>
      <c r="J18" s="1639">
        <f t="shared" si="0"/>
        <v>0</v>
      </c>
      <c r="L18" s="1265" t="s">
        <v>2063</v>
      </c>
      <c r="M18" s="1084"/>
      <c r="N18" s="1738">
        <v>10660</v>
      </c>
      <c r="O18" s="1268">
        <v>1.5</v>
      </c>
      <c r="P18" s="1268">
        <v>0.2</v>
      </c>
      <c r="Q18" s="1638">
        <f>$M18*N18*GPC!$F$84</f>
        <v>0</v>
      </c>
      <c r="R18" s="1638">
        <f>$M18*O18*GPC!$F$86</f>
        <v>0</v>
      </c>
      <c r="S18" s="1638">
        <f>$M18*P18*GPC!$F$87</f>
        <v>0</v>
      </c>
      <c r="T18" s="1639">
        <f t="shared" si="1"/>
        <v>0</v>
      </c>
    </row>
    <row r="19" spans="2:20">
      <c r="B19" s="1265" t="s">
        <v>2002</v>
      </c>
      <c r="C19" s="1084"/>
      <c r="D19" s="1738">
        <v>10240</v>
      </c>
      <c r="E19" s="1267">
        <v>1.2</v>
      </c>
      <c r="F19" s="1267">
        <v>0.3</v>
      </c>
      <c r="G19" s="1638">
        <f>$C19*D19*GPC!$F$84</f>
        <v>0</v>
      </c>
      <c r="H19" s="1638">
        <f>$C19*E19*GPC!$F$86</f>
        <v>0</v>
      </c>
      <c r="I19" s="1638">
        <f>$C19*F19*GPC!$F$87</f>
        <v>0</v>
      </c>
      <c r="J19" s="1639">
        <f t="shared" si="0"/>
        <v>0</v>
      </c>
      <c r="L19" s="1265" t="s">
        <v>2064</v>
      </c>
      <c r="M19" s="1084"/>
      <c r="N19" s="1739">
        <v>7900</v>
      </c>
      <c r="O19" s="1268">
        <v>1.5</v>
      </c>
      <c r="P19" s="1268">
        <v>0.2</v>
      </c>
      <c r="Q19" s="1638">
        <f>$M19*N19*GPC!$F$84</f>
        <v>0</v>
      </c>
      <c r="R19" s="1638">
        <f>$M19*O19*GPC!$F$86</f>
        <v>0</v>
      </c>
      <c r="S19" s="1638">
        <f>$M19*P19*GPC!$F$87</f>
        <v>0</v>
      </c>
      <c r="T19" s="1639">
        <f t="shared" si="1"/>
        <v>0</v>
      </c>
    </row>
    <row r="20" spans="2:20">
      <c r="B20" s="1265" t="s">
        <v>2003</v>
      </c>
      <c r="C20" s="1084"/>
      <c r="D20" s="1739">
        <v>2680</v>
      </c>
      <c r="E20" s="1268">
        <v>0.3</v>
      </c>
      <c r="F20" s="1268">
        <v>0.1</v>
      </c>
      <c r="G20" s="1638">
        <f>$C20*D20*GPC!$F$84</f>
        <v>0</v>
      </c>
      <c r="H20" s="1638">
        <f>$C20*E20*GPC!$F$86</f>
        <v>0</v>
      </c>
      <c r="I20" s="1638">
        <f>$C20*F20*GPC!$F$87</f>
        <v>0</v>
      </c>
      <c r="J20" s="1639">
        <f t="shared" si="0"/>
        <v>0</v>
      </c>
      <c r="L20" s="1265" t="s">
        <v>2065</v>
      </c>
      <c r="M20" s="1084"/>
      <c r="N20" s="1739">
        <v>7900</v>
      </c>
      <c r="O20" s="1268">
        <v>1.5</v>
      </c>
      <c r="P20" s="1268">
        <v>0.2</v>
      </c>
      <c r="Q20" s="1638">
        <f>$M20*N20*GPC!$F$84</f>
        <v>0</v>
      </c>
      <c r="R20" s="1638">
        <f>$M20*O20*GPC!$F$86</f>
        <v>0</v>
      </c>
      <c r="S20" s="1638">
        <f>$M20*P20*GPC!$F$87</f>
        <v>0</v>
      </c>
      <c r="T20" s="1639">
        <f t="shared" si="1"/>
        <v>0</v>
      </c>
    </row>
    <row r="21" spans="2:20">
      <c r="B21" s="1265" t="s">
        <v>2004</v>
      </c>
      <c r="C21" s="1084"/>
      <c r="D21" s="1741">
        <v>5405</v>
      </c>
      <c r="E21" s="1267">
        <v>0.4</v>
      </c>
      <c r="F21" s="1267">
        <v>0.2</v>
      </c>
      <c r="G21" s="1638">
        <f>$C21*D21*GPC!$F$84</f>
        <v>0</v>
      </c>
      <c r="H21" s="1638">
        <f>$C21*E21*GPC!$F$86</f>
        <v>0</v>
      </c>
      <c r="I21" s="1638">
        <f>$C21*F21*GPC!$F$87</f>
        <v>0</v>
      </c>
      <c r="J21" s="1639">
        <f t="shared" si="0"/>
        <v>0</v>
      </c>
      <c r="L21" s="1265" t="s">
        <v>1999</v>
      </c>
      <c r="M21" s="1084"/>
      <c r="N21" s="1738">
        <v>620</v>
      </c>
      <c r="O21" s="1268">
        <v>1.5</v>
      </c>
      <c r="P21" s="1268">
        <v>0.2</v>
      </c>
      <c r="Q21" s="1638">
        <f>$M21*N21*GPC!$F$84</f>
        <v>0</v>
      </c>
      <c r="R21" s="1638">
        <f>$M21*O21*GPC!$F$86</f>
        <v>0</v>
      </c>
      <c r="S21" s="1638">
        <f>$M21*P21*GPC!$F$87</f>
        <v>0</v>
      </c>
      <c r="T21" s="1639">
        <f t="shared" si="1"/>
        <v>0</v>
      </c>
    </row>
    <row r="22" spans="2:20">
      <c r="B22" s="1265" t="s">
        <v>2005</v>
      </c>
      <c r="C22" s="1084"/>
      <c r="D22" s="1738">
        <v>8100</v>
      </c>
      <c r="E22" s="1268">
        <v>0.3</v>
      </c>
      <c r="F22" s="1268">
        <v>0.1</v>
      </c>
      <c r="G22" s="1638">
        <f>$C22*D22*GPC!$F$84</f>
        <v>0</v>
      </c>
      <c r="H22" s="1638">
        <f>$C22*E22*GPC!$F$86</f>
        <v>0</v>
      </c>
      <c r="I22" s="1638">
        <f>$C22*F22*GPC!$F$87</f>
        <v>0</v>
      </c>
      <c r="J22" s="1639">
        <f t="shared" si="0"/>
        <v>0</v>
      </c>
      <c r="L22" s="1265" t="s">
        <v>2066</v>
      </c>
      <c r="M22" s="1084"/>
      <c r="N22" s="1739">
        <v>7900</v>
      </c>
      <c r="O22" s="1268">
        <v>1.5</v>
      </c>
      <c r="P22" s="1268">
        <v>0.2</v>
      </c>
      <c r="Q22" s="1638">
        <f>$M22*N22*GPC!$F$84</f>
        <v>0</v>
      </c>
      <c r="R22" s="1638">
        <f>$M22*O22*GPC!$F$86</f>
        <v>0</v>
      </c>
      <c r="S22" s="1638">
        <f>$M22*P22*GPC!$F$87</f>
        <v>0</v>
      </c>
      <c r="T22" s="1639">
        <f t="shared" si="1"/>
        <v>0</v>
      </c>
    </row>
    <row r="23" spans="2:20">
      <c r="B23" s="1265" t="s">
        <v>2006</v>
      </c>
      <c r="C23" s="1084"/>
      <c r="D23" s="1739">
        <v>2680</v>
      </c>
      <c r="E23" s="1268">
        <v>0.3</v>
      </c>
      <c r="F23" s="1268">
        <v>0.1</v>
      </c>
      <c r="G23" s="1638">
        <f>$C23*D23*GPC!$F$84</f>
        <v>0</v>
      </c>
      <c r="H23" s="1638">
        <f>$C23*E23*GPC!$F$86</f>
        <v>0</v>
      </c>
      <c r="I23" s="1638">
        <f>$C23*F23*GPC!$F$87</f>
        <v>0</v>
      </c>
      <c r="J23" s="1639">
        <f t="shared" si="0"/>
        <v>0</v>
      </c>
      <c r="L23" s="1265" t="s">
        <v>2067</v>
      </c>
      <c r="M23" s="1084"/>
      <c r="N23" s="1739">
        <v>7900</v>
      </c>
      <c r="O23" s="1268">
        <v>1.5</v>
      </c>
      <c r="P23" s="1268">
        <v>0.2</v>
      </c>
      <c r="Q23" s="1638">
        <f>$M23*N23*GPC!$F$84</f>
        <v>0</v>
      </c>
      <c r="R23" s="1638">
        <f>$M23*O23*GPC!$F$86</f>
        <v>0</v>
      </c>
      <c r="S23" s="1638">
        <f>$M23*P23*GPC!$F$87</f>
        <v>0</v>
      </c>
      <c r="T23" s="1639">
        <f t="shared" si="1"/>
        <v>0</v>
      </c>
    </row>
    <row r="24" spans="2:20">
      <c r="B24" s="1266" t="s">
        <v>2007</v>
      </c>
      <c r="C24" s="1084"/>
      <c r="D24" s="1739">
        <v>2680</v>
      </c>
      <c r="E24" s="1268">
        <v>0.3</v>
      </c>
      <c r="F24" s="1268">
        <v>0.1</v>
      </c>
      <c r="G24" s="1638">
        <f>$C24*D24*GPC!$F$84</f>
        <v>0</v>
      </c>
      <c r="H24" s="1638">
        <f>$C24*E24*GPC!$F$86</f>
        <v>0</v>
      </c>
      <c r="I24" s="1638">
        <f>$C24*F24*GPC!$F$87</f>
        <v>0</v>
      </c>
      <c r="J24" s="1639">
        <f t="shared" si="0"/>
        <v>0</v>
      </c>
      <c r="L24" s="1265" t="s">
        <v>2000</v>
      </c>
      <c r="M24" s="1084"/>
      <c r="N24" s="1741">
        <v>3980</v>
      </c>
      <c r="O24" s="1267">
        <v>0.7</v>
      </c>
      <c r="P24" s="1267">
        <v>0.1</v>
      </c>
      <c r="Q24" s="1638">
        <f>$M24*N24*GPC!$F$84</f>
        <v>0</v>
      </c>
      <c r="R24" s="1638">
        <f>$M24*O24*GPC!$F$86</f>
        <v>0</v>
      </c>
      <c r="S24" s="1638">
        <f>$M24*P24*GPC!$F$87</f>
        <v>0</v>
      </c>
      <c r="T24" s="1639">
        <f t="shared" si="1"/>
        <v>0</v>
      </c>
    </row>
    <row r="25" spans="2:20">
      <c r="B25" s="1266" t="s">
        <v>2008</v>
      </c>
      <c r="C25" s="1084"/>
      <c r="D25" s="1739">
        <v>2680</v>
      </c>
      <c r="E25" s="1268">
        <v>0.3</v>
      </c>
      <c r="F25" s="1268">
        <v>0.1</v>
      </c>
      <c r="G25" s="1638">
        <f>$C25*D25*GPC!$F$84</f>
        <v>0</v>
      </c>
      <c r="H25" s="1638">
        <f>$C25*E25*GPC!$F$86</f>
        <v>0</v>
      </c>
      <c r="I25" s="1638">
        <f>$C25*F25*GPC!$F$87</f>
        <v>0</v>
      </c>
      <c r="J25" s="1639">
        <f t="shared" si="0"/>
        <v>0</v>
      </c>
      <c r="L25" s="1265" t="s">
        <v>2001</v>
      </c>
      <c r="M25" s="1084"/>
      <c r="N25" s="1741">
        <v>2750</v>
      </c>
      <c r="O25" s="1267">
        <v>0.5</v>
      </c>
      <c r="P25" s="1267">
        <v>0.1</v>
      </c>
      <c r="Q25" s="1638">
        <f>$M25*N25*GPC!$F$84</f>
        <v>0</v>
      </c>
      <c r="R25" s="1638">
        <f>$M25*O25*GPC!$F$86</f>
        <v>0</v>
      </c>
      <c r="S25" s="1638">
        <f>$M25*P25*GPC!$F$87</f>
        <v>0</v>
      </c>
      <c r="T25" s="1639">
        <f t="shared" si="1"/>
        <v>0</v>
      </c>
    </row>
    <row r="26" spans="2:20">
      <c r="B26" s="1266" t="s">
        <v>2009</v>
      </c>
      <c r="C26" s="1084"/>
      <c r="D26" s="1739">
        <v>2680</v>
      </c>
      <c r="E26" s="1268">
        <v>0.3</v>
      </c>
      <c r="F26" s="1268">
        <v>0.1</v>
      </c>
      <c r="G26" s="1638">
        <f>$C26*D26*GPC!$F$84</f>
        <v>0</v>
      </c>
      <c r="H26" s="1638">
        <f>$C26*E26*GPC!$F$86</f>
        <v>0</v>
      </c>
      <c r="I26" s="1638">
        <f>$C26*F26*GPC!$F$87</f>
        <v>0</v>
      </c>
      <c r="J26" s="1639">
        <f t="shared" si="0"/>
        <v>0</v>
      </c>
      <c r="L26" s="1265" t="s">
        <v>2002</v>
      </c>
      <c r="M26" s="1084"/>
      <c r="N26" s="1738">
        <v>10240</v>
      </c>
      <c r="O26" s="1267">
        <v>4.8</v>
      </c>
      <c r="P26" s="1267">
        <v>0.3</v>
      </c>
      <c r="Q26" s="1638">
        <f>$M26*N26*GPC!$F$84</f>
        <v>0</v>
      </c>
      <c r="R26" s="1638">
        <f>$M26*O26*GPC!$F$86</f>
        <v>0</v>
      </c>
      <c r="S26" s="1638">
        <f>$M26*P26*GPC!$F$87</f>
        <v>0</v>
      </c>
      <c r="T26" s="1639">
        <f t="shared" si="1"/>
        <v>0</v>
      </c>
    </row>
    <row r="27" spans="2:20">
      <c r="B27" s="1266" t="s">
        <v>2010</v>
      </c>
      <c r="C27" s="1084"/>
      <c r="D27" s="1739">
        <v>2680</v>
      </c>
      <c r="E27" s="1268">
        <v>0.3</v>
      </c>
      <c r="F27" s="1268">
        <v>0.1</v>
      </c>
      <c r="G27" s="1638">
        <f>$C27*D27*GPC!$F$84</f>
        <v>0</v>
      </c>
      <c r="H27" s="1638">
        <f>$C27*E27*GPC!$F$86</f>
        <v>0</v>
      </c>
      <c r="I27" s="1638">
        <f>$C27*F27*GPC!$F$87</f>
        <v>0</v>
      </c>
      <c r="J27" s="1639">
        <f t="shared" si="0"/>
        <v>0</v>
      </c>
      <c r="L27" s="1265" t="s">
        <v>2003</v>
      </c>
      <c r="M27" s="1084"/>
      <c r="N27" s="1741">
        <v>10710</v>
      </c>
      <c r="O27" s="1267">
        <v>1.2</v>
      </c>
      <c r="P27" s="1267">
        <v>0.3</v>
      </c>
      <c r="Q27" s="1638">
        <f>$M27*N27*GPC!$F$84</f>
        <v>0</v>
      </c>
      <c r="R27" s="1638">
        <f>$M27*O27*GPC!$F$86</f>
        <v>0</v>
      </c>
      <c r="S27" s="1638">
        <f>$M27*P27*GPC!$F$87</f>
        <v>0</v>
      </c>
      <c r="T27" s="1639">
        <f t="shared" si="1"/>
        <v>0</v>
      </c>
    </row>
    <row r="28" spans="2:20">
      <c r="B28" s="1266" t="s">
        <v>2011</v>
      </c>
      <c r="C28" s="1084"/>
      <c r="D28" s="1739">
        <v>2680</v>
      </c>
      <c r="E28" s="1268">
        <v>0.3</v>
      </c>
      <c r="F28" s="1268">
        <v>0.1</v>
      </c>
      <c r="G28" s="1638">
        <f>$C28*D28*GPC!$F$84</f>
        <v>0</v>
      </c>
      <c r="H28" s="1638">
        <f>$C28*E28*GPC!$F$86</f>
        <v>0</v>
      </c>
      <c r="I28" s="1638">
        <f>$C28*F28*GPC!$F$87</f>
        <v>0</v>
      </c>
      <c r="J28" s="1639">
        <f t="shared" si="0"/>
        <v>0</v>
      </c>
      <c r="L28" s="1265" t="s">
        <v>2068</v>
      </c>
      <c r="M28" s="1084"/>
      <c r="N28" s="1739">
        <v>7900</v>
      </c>
      <c r="O28" s="1268">
        <v>1.5</v>
      </c>
      <c r="P28" s="1268">
        <v>0.2</v>
      </c>
      <c r="Q28" s="1638">
        <f>$M28*N28*GPC!$F$84</f>
        <v>0</v>
      </c>
      <c r="R28" s="1638">
        <f>$M28*O28*GPC!$F$86</f>
        <v>0</v>
      </c>
      <c r="S28" s="1638">
        <f>$M28*P28*GPC!$F$87</f>
        <v>0</v>
      </c>
      <c r="T28" s="1639">
        <f t="shared" si="1"/>
        <v>0</v>
      </c>
    </row>
    <row r="29" spans="2:20">
      <c r="B29" s="1266" t="s">
        <v>2012</v>
      </c>
      <c r="C29" s="1084"/>
      <c r="D29" s="1739">
        <v>2680</v>
      </c>
      <c r="E29" s="1268">
        <v>0.3</v>
      </c>
      <c r="F29" s="1268">
        <v>0.1</v>
      </c>
      <c r="G29" s="1638">
        <f>$C29*D29*GPC!$F$84</f>
        <v>0</v>
      </c>
      <c r="H29" s="1638">
        <f>$C29*E29*GPC!$F$86</f>
        <v>0</v>
      </c>
      <c r="I29" s="1638">
        <f>$C29*F29*GPC!$F$87</f>
        <v>0</v>
      </c>
      <c r="J29" s="1639">
        <f t="shared" si="0"/>
        <v>0</v>
      </c>
      <c r="L29" s="1265" t="s">
        <v>2004</v>
      </c>
      <c r="M29" s="1084"/>
      <c r="N29" s="1741">
        <v>4110</v>
      </c>
      <c r="O29" s="1267">
        <v>0.1</v>
      </c>
      <c r="P29" s="1267">
        <v>0.1</v>
      </c>
      <c r="Q29" s="1638">
        <f>$M29*N29*GPC!$F$84</f>
        <v>0</v>
      </c>
      <c r="R29" s="1638">
        <f>$M29*O29*GPC!$F$86</f>
        <v>0</v>
      </c>
      <c r="S29" s="1638">
        <f>$M29*P29*GPC!$F$87</f>
        <v>0</v>
      </c>
      <c r="T29" s="1639">
        <f t="shared" si="1"/>
        <v>0</v>
      </c>
    </row>
    <row r="30" spans="2:20">
      <c r="B30" s="1266" t="s">
        <v>2013</v>
      </c>
      <c r="C30" s="1084"/>
      <c r="D30" s="1739">
        <v>2680</v>
      </c>
      <c r="E30" s="1268">
        <v>0.3</v>
      </c>
      <c r="F30" s="1268">
        <v>0.1</v>
      </c>
      <c r="G30" s="1638">
        <f>$C30*D30*GPC!$F$84</f>
        <v>0</v>
      </c>
      <c r="H30" s="1638">
        <f>$C30*E30*GPC!$F$86</f>
        <v>0</v>
      </c>
      <c r="I30" s="1638">
        <f>$C30*F30*GPC!$F$87</f>
        <v>0</v>
      </c>
      <c r="J30" s="1639">
        <f t="shared" si="0"/>
        <v>0</v>
      </c>
      <c r="L30" s="1265" t="s">
        <v>2005</v>
      </c>
      <c r="M30" s="1084"/>
      <c r="N30" s="1738">
        <v>8100</v>
      </c>
      <c r="O30" s="1267">
        <v>0.4</v>
      </c>
      <c r="P30" s="1267">
        <v>0.2</v>
      </c>
      <c r="Q30" s="1638">
        <f>$M30*N30*GPC!$F$84</f>
        <v>0</v>
      </c>
      <c r="R30" s="1638">
        <f>$M30*O30*GPC!$F$86</f>
        <v>0</v>
      </c>
      <c r="S30" s="1638">
        <f>$M30*P30*GPC!$F$87</f>
        <v>0</v>
      </c>
      <c r="T30" s="1639">
        <f t="shared" si="1"/>
        <v>0</v>
      </c>
    </row>
    <row r="31" spans="2:20">
      <c r="B31" s="1266" t="s">
        <v>2014</v>
      </c>
      <c r="C31" s="1084"/>
      <c r="D31" s="1739">
        <v>2680</v>
      </c>
      <c r="E31" s="1268">
        <v>0.3</v>
      </c>
      <c r="F31" s="1268">
        <v>0.1</v>
      </c>
      <c r="G31" s="1638">
        <f>$C31*D31*GPC!$F$84</f>
        <v>0</v>
      </c>
      <c r="H31" s="1638">
        <f>$C31*E31*GPC!$F$86</f>
        <v>0</v>
      </c>
      <c r="I31" s="1638">
        <f>$C31*F31*GPC!$F$87</f>
        <v>0</v>
      </c>
      <c r="J31" s="1639">
        <f t="shared" si="0"/>
        <v>0</v>
      </c>
      <c r="L31" s="1265" t="s">
        <v>2069</v>
      </c>
      <c r="M31" s="1084"/>
      <c r="N31" s="1739">
        <v>7900</v>
      </c>
      <c r="O31" s="1268">
        <v>1.5</v>
      </c>
      <c r="P31" s="1268">
        <v>0.2</v>
      </c>
      <c r="Q31" s="1638">
        <f>$M31*N31*GPC!$F$84</f>
        <v>0</v>
      </c>
      <c r="R31" s="1638">
        <f>$M31*O31*GPC!$F$86</f>
        <v>0</v>
      </c>
      <c r="S31" s="1638">
        <f>$M31*P31*GPC!$F$87</f>
        <v>0</v>
      </c>
      <c r="T31" s="1639">
        <f t="shared" si="1"/>
        <v>0</v>
      </c>
    </row>
    <row r="32" spans="2:20">
      <c r="B32" s="1266" t="s">
        <v>2015</v>
      </c>
      <c r="C32" s="1084"/>
      <c r="D32" s="1739">
        <v>2680</v>
      </c>
      <c r="E32" s="1268">
        <v>0.3</v>
      </c>
      <c r="F32" s="1268">
        <v>0.1</v>
      </c>
      <c r="G32" s="1638">
        <f>$C32*D32*GPC!$F$84</f>
        <v>0</v>
      </c>
      <c r="H32" s="1638">
        <f>$C32*E32*GPC!$F$86</f>
        <v>0</v>
      </c>
      <c r="I32" s="1638">
        <f>$C32*F32*GPC!$F$87</f>
        <v>0</v>
      </c>
      <c r="J32" s="1639">
        <f t="shared" si="0"/>
        <v>0</v>
      </c>
      <c r="L32" s="1265" t="s">
        <v>2006</v>
      </c>
      <c r="M32" s="1084"/>
      <c r="N32" s="1739">
        <v>7900</v>
      </c>
      <c r="O32" s="1268">
        <v>1.5</v>
      </c>
      <c r="P32" s="1268">
        <v>0.2</v>
      </c>
      <c r="Q32" s="1638">
        <f>$M32*N32*GPC!$F$84</f>
        <v>0</v>
      </c>
      <c r="R32" s="1638">
        <f>$M32*O32*GPC!$F$86</f>
        <v>0</v>
      </c>
      <c r="S32" s="1638">
        <f>$M32*P32*GPC!$F$87</f>
        <v>0</v>
      </c>
      <c r="T32" s="1639">
        <f t="shared" si="1"/>
        <v>0</v>
      </c>
    </row>
    <row r="33" spans="2:20">
      <c r="B33" s="1266" t="s">
        <v>2016</v>
      </c>
      <c r="C33" s="1084"/>
      <c r="D33" s="1739">
        <v>2680</v>
      </c>
      <c r="E33" s="1268">
        <v>0.3</v>
      </c>
      <c r="F33" s="1268">
        <v>0.1</v>
      </c>
      <c r="G33" s="1638">
        <f>$C33*D33*GPC!$F$84</f>
        <v>0</v>
      </c>
      <c r="H33" s="1638">
        <f>$C33*E33*GPC!$F$86</f>
        <v>0</v>
      </c>
      <c r="I33" s="1638">
        <f>$C33*F33*GPC!$F$87</f>
        <v>0</v>
      </c>
      <c r="J33" s="1639">
        <f t="shared" si="0"/>
        <v>0</v>
      </c>
      <c r="L33" s="1265" t="s">
        <v>2070</v>
      </c>
      <c r="M33" s="1084"/>
      <c r="N33" s="1739">
        <v>7900</v>
      </c>
      <c r="O33" s="1268">
        <v>1.5</v>
      </c>
      <c r="P33" s="1268">
        <v>0.2</v>
      </c>
      <c r="Q33" s="1638">
        <f>$M33*N33*GPC!$F$84</f>
        <v>0</v>
      </c>
      <c r="R33" s="1638">
        <f>$M33*O33*GPC!$F$86</f>
        <v>0</v>
      </c>
      <c r="S33" s="1638">
        <f>$M33*P33*GPC!$F$87</f>
        <v>0</v>
      </c>
      <c r="T33" s="1639">
        <f t="shared" si="1"/>
        <v>0</v>
      </c>
    </row>
    <row r="34" spans="2:20">
      <c r="B34" s="1266" t="s">
        <v>2017</v>
      </c>
      <c r="C34" s="1084"/>
      <c r="D34" s="1739">
        <v>2680</v>
      </c>
      <c r="E34" s="1268">
        <v>0.3</v>
      </c>
      <c r="F34" s="1268">
        <v>0.1</v>
      </c>
      <c r="G34" s="1638">
        <f>$C34*D34*GPC!$F$84</f>
        <v>0</v>
      </c>
      <c r="H34" s="1638">
        <f>$C34*E34*GPC!$F$86</f>
        <v>0</v>
      </c>
      <c r="I34" s="1638">
        <f>$C34*F34*GPC!$F$87</f>
        <v>0</v>
      </c>
      <c r="J34" s="1639">
        <f t="shared" si="0"/>
        <v>0</v>
      </c>
      <c r="L34" s="1641" t="s">
        <v>2071</v>
      </c>
      <c r="M34" s="1084"/>
      <c r="N34" s="1739">
        <v>7900</v>
      </c>
      <c r="O34" s="1268">
        <v>1.5</v>
      </c>
      <c r="P34" s="1268">
        <v>0.2</v>
      </c>
      <c r="Q34" s="1638">
        <f>$M34*N34*GPC!$F$84</f>
        <v>0</v>
      </c>
      <c r="R34" s="1638">
        <f>$M34*O34*GPC!$F$86</f>
        <v>0</v>
      </c>
      <c r="S34" s="1638">
        <f>$M34*P34*GPC!$F$87</f>
        <v>0</v>
      </c>
      <c r="T34" s="1639">
        <f t="shared" si="1"/>
        <v>0</v>
      </c>
    </row>
    <row r="35" spans="2:20">
      <c r="B35" s="1266" t="s">
        <v>2018</v>
      </c>
      <c r="C35" s="1084"/>
      <c r="D35" s="1738">
        <v>1060</v>
      </c>
      <c r="E35" s="1268">
        <v>0.3</v>
      </c>
      <c r="F35" s="1268">
        <v>0.1</v>
      </c>
      <c r="G35" s="1638">
        <f>$C35*D35*GPC!$F$84</f>
        <v>0</v>
      </c>
      <c r="H35" s="1638">
        <f>$C35*E35*GPC!$F$86</f>
        <v>0</v>
      </c>
      <c r="I35" s="1638">
        <f>$C35*F35*GPC!$F$87</f>
        <v>0</v>
      </c>
      <c r="J35" s="1639">
        <f t="shared" si="0"/>
        <v>0</v>
      </c>
      <c r="L35" s="1641" t="s">
        <v>2007</v>
      </c>
      <c r="M35" s="1084"/>
      <c r="N35" s="1739">
        <v>7900</v>
      </c>
      <c r="O35" s="1268">
        <v>1.5</v>
      </c>
      <c r="P35" s="1268">
        <v>0.2</v>
      </c>
      <c r="Q35" s="1638">
        <f>$M35*N35*GPC!$F$84</f>
        <v>0</v>
      </c>
      <c r="R35" s="1638">
        <f>$M35*O35*GPC!$F$86</f>
        <v>0</v>
      </c>
      <c r="S35" s="1638">
        <f>$M35*P35*GPC!$F$87</f>
        <v>0</v>
      </c>
      <c r="T35" s="1639">
        <f t="shared" si="1"/>
        <v>0</v>
      </c>
    </row>
    <row r="36" spans="2:20">
      <c r="B36" s="1266" t="s">
        <v>2019</v>
      </c>
      <c r="C36" s="1084"/>
      <c r="D36" s="1739">
        <v>2680</v>
      </c>
      <c r="E36" s="1268">
        <v>0.3</v>
      </c>
      <c r="F36" s="1268">
        <v>0.1</v>
      </c>
      <c r="G36" s="1638">
        <f>$C36*D36*GPC!$F$84</f>
        <v>0</v>
      </c>
      <c r="H36" s="1638">
        <f>$C36*E36*GPC!$F$86</f>
        <v>0</v>
      </c>
      <c r="I36" s="1638">
        <f>$C36*F36*GPC!$F$87</f>
        <v>0</v>
      </c>
      <c r="J36" s="1639">
        <f t="shared" si="0"/>
        <v>0</v>
      </c>
      <c r="L36" s="1641" t="s">
        <v>2008</v>
      </c>
      <c r="M36" s="1084"/>
      <c r="N36" s="1739">
        <v>7900</v>
      </c>
      <c r="O36" s="1268">
        <v>1.5</v>
      </c>
      <c r="P36" s="1268">
        <v>0.2</v>
      </c>
      <c r="Q36" s="1638">
        <f>$M36*N36*GPC!$F$84</f>
        <v>0</v>
      </c>
      <c r="R36" s="1638">
        <f>$M36*O36*GPC!$F$86</f>
        <v>0</v>
      </c>
      <c r="S36" s="1638">
        <f>$M36*P36*GPC!$F$87</f>
        <v>0</v>
      </c>
      <c r="T36" s="1639">
        <f t="shared" si="1"/>
        <v>0</v>
      </c>
    </row>
    <row r="37" spans="2:20">
      <c r="B37" s="1266" t="s">
        <v>2020</v>
      </c>
      <c r="C37" s="1084"/>
      <c r="D37" s="1739">
        <v>2680</v>
      </c>
      <c r="E37" s="1268">
        <v>0.3</v>
      </c>
      <c r="F37" s="1268">
        <v>0.1</v>
      </c>
      <c r="G37" s="1638">
        <f>$C37*D37*GPC!$F$84</f>
        <v>0</v>
      </c>
      <c r="H37" s="1638">
        <f>$C37*E37*GPC!$F$86</f>
        <v>0</v>
      </c>
      <c r="I37" s="1638">
        <f>$C37*F37*GPC!$F$87</f>
        <v>0</v>
      </c>
      <c r="J37" s="1639">
        <f t="shared" si="0"/>
        <v>0</v>
      </c>
      <c r="L37" s="1641" t="s">
        <v>2009</v>
      </c>
      <c r="M37" s="1084"/>
      <c r="N37" s="1739">
        <v>7900</v>
      </c>
      <c r="O37" s="1268">
        <v>1.5</v>
      </c>
      <c r="P37" s="1268">
        <v>0.2</v>
      </c>
      <c r="Q37" s="1638">
        <f>$M37*N37*GPC!$F$84</f>
        <v>0</v>
      </c>
      <c r="R37" s="1638">
        <f>$M37*O37*GPC!$F$86</f>
        <v>0</v>
      </c>
      <c r="S37" s="1638">
        <f>$M37*P37*GPC!$F$87</f>
        <v>0</v>
      </c>
      <c r="T37" s="1639">
        <f t="shared" si="1"/>
        <v>0</v>
      </c>
    </row>
    <row r="38" spans="2:20">
      <c r="B38" s="1266" t="s">
        <v>2021</v>
      </c>
      <c r="C38" s="1084"/>
      <c r="D38" s="1739">
        <v>2680</v>
      </c>
      <c r="E38" s="1268">
        <v>0.3</v>
      </c>
      <c r="F38" s="1268">
        <v>0.1</v>
      </c>
      <c r="G38" s="1638">
        <f>$C38*D38*GPC!$F$84</f>
        <v>0</v>
      </c>
      <c r="H38" s="1638">
        <f>$C38*E38*GPC!$F$86</f>
        <v>0</v>
      </c>
      <c r="I38" s="1638">
        <f>$C38*F38*GPC!$F$87</f>
        <v>0</v>
      </c>
      <c r="J38" s="1639">
        <f t="shared" si="0"/>
        <v>0</v>
      </c>
      <c r="L38" s="1641" t="s">
        <v>2072</v>
      </c>
      <c r="M38" s="1084"/>
      <c r="N38" s="1739">
        <v>7900</v>
      </c>
      <c r="O38" s="1268">
        <v>1.5</v>
      </c>
      <c r="P38" s="1268">
        <v>0.2</v>
      </c>
      <c r="Q38" s="1638">
        <f>$M38*N38*GPC!$F$84</f>
        <v>0</v>
      </c>
      <c r="R38" s="1638">
        <f>$M38*O38*GPC!$F$86</f>
        <v>0</v>
      </c>
      <c r="S38" s="1638">
        <f>$M38*P38*GPC!$F$87</f>
        <v>0</v>
      </c>
      <c r="T38" s="1639">
        <f t="shared" si="1"/>
        <v>0</v>
      </c>
    </row>
    <row r="39" spans="2:20">
      <c r="B39" s="1266" t="s">
        <v>2022</v>
      </c>
      <c r="C39" s="1084"/>
      <c r="D39" s="1739">
        <v>2680</v>
      </c>
      <c r="E39" s="1268">
        <v>0.3</v>
      </c>
      <c r="F39" s="1268">
        <v>0.1</v>
      </c>
      <c r="G39" s="1638">
        <f>$C39*D39*GPC!$F$84</f>
        <v>0</v>
      </c>
      <c r="H39" s="1638">
        <f>$C39*E39*GPC!$F$86</f>
        <v>0</v>
      </c>
      <c r="I39" s="1638">
        <f>$C39*F39*GPC!$F$87</f>
        <v>0</v>
      </c>
      <c r="J39" s="1639">
        <f t="shared" si="0"/>
        <v>0</v>
      </c>
      <c r="L39" s="1641" t="s">
        <v>2073</v>
      </c>
      <c r="M39" s="1084"/>
      <c r="N39" s="1739">
        <v>7900</v>
      </c>
      <c r="O39" s="1268">
        <v>1.5</v>
      </c>
      <c r="P39" s="1268">
        <v>0.2</v>
      </c>
      <c r="Q39" s="1638">
        <f>$M39*N39*GPC!$F$84</f>
        <v>0</v>
      </c>
      <c r="R39" s="1638">
        <f>$M39*O39*GPC!$F$86</f>
        <v>0</v>
      </c>
      <c r="S39" s="1638">
        <f>$M39*P39*GPC!$F$87</f>
        <v>0</v>
      </c>
      <c r="T39" s="1639">
        <f t="shared" si="1"/>
        <v>0</v>
      </c>
    </row>
    <row r="40" spans="2:20">
      <c r="B40" s="1266" t="s">
        <v>2023</v>
      </c>
      <c r="C40" s="1084"/>
      <c r="D40" s="1739">
        <v>2680</v>
      </c>
      <c r="E40" s="1268">
        <v>0.3</v>
      </c>
      <c r="F40" s="1268">
        <v>0.1</v>
      </c>
      <c r="G40" s="1638">
        <f>$C40*D40*GPC!$F$84</f>
        <v>0</v>
      </c>
      <c r="H40" s="1638">
        <f>$C40*E40*GPC!$F$86</f>
        <v>0</v>
      </c>
      <c r="I40" s="1638">
        <f>$C40*F40*GPC!$F$87</f>
        <v>0</v>
      </c>
      <c r="J40" s="1639">
        <f t="shared" si="0"/>
        <v>0</v>
      </c>
      <c r="L40" s="1641" t="s">
        <v>2074</v>
      </c>
      <c r="M40" s="1084"/>
      <c r="N40" s="1739">
        <v>7900</v>
      </c>
      <c r="O40" s="1268">
        <v>1.5</v>
      </c>
      <c r="P40" s="1268">
        <v>0.2</v>
      </c>
      <c r="Q40" s="1638">
        <f>$M40*N40*GPC!$F$84</f>
        <v>0</v>
      </c>
      <c r="R40" s="1638">
        <f>$M40*O40*GPC!$F$86</f>
        <v>0</v>
      </c>
      <c r="S40" s="1638">
        <f>$M40*P40*GPC!$F$87</f>
        <v>0</v>
      </c>
      <c r="T40" s="1639">
        <f t="shared" si="1"/>
        <v>0</v>
      </c>
    </row>
    <row r="41" spans="2:20">
      <c r="B41" s="1266" t="s">
        <v>2024</v>
      </c>
      <c r="C41" s="1084"/>
      <c r="D41" s="1739">
        <v>2680</v>
      </c>
      <c r="E41" s="1268">
        <v>0.3</v>
      </c>
      <c r="F41" s="1268">
        <v>0.1</v>
      </c>
      <c r="G41" s="1638">
        <f>$C41*D41*GPC!$F$84</f>
        <v>0</v>
      </c>
      <c r="H41" s="1638">
        <f>$C41*E41*GPC!$F$86</f>
        <v>0</v>
      </c>
      <c r="I41" s="1638">
        <f>$C41*F41*GPC!$F$87</f>
        <v>0</v>
      </c>
      <c r="J41" s="1639">
        <f t="shared" si="0"/>
        <v>0</v>
      </c>
      <c r="L41" s="1641" t="s">
        <v>2013</v>
      </c>
      <c r="M41" s="1084"/>
      <c r="N41" s="1739">
        <v>7900</v>
      </c>
      <c r="O41" s="1268">
        <v>1.5</v>
      </c>
      <c r="P41" s="1268">
        <v>0.2</v>
      </c>
      <c r="Q41" s="1638">
        <f>$M41*N41*GPC!$F$84</f>
        <v>0</v>
      </c>
      <c r="R41" s="1638">
        <f>$M41*O41*GPC!$F$86</f>
        <v>0</v>
      </c>
      <c r="S41" s="1638">
        <f>$M41*P41*GPC!$F$87</f>
        <v>0</v>
      </c>
      <c r="T41" s="1639">
        <f t="shared" si="1"/>
        <v>0</v>
      </c>
    </row>
    <row r="42" spans="2:20">
      <c r="B42" s="1266" t="s">
        <v>2025</v>
      </c>
      <c r="C42" s="1084"/>
      <c r="D42" s="1739">
        <v>2680</v>
      </c>
      <c r="E42" s="1268">
        <v>0.3</v>
      </c>
      <c r="F42" s="1268">
        <v>0.1</v>
      </c>
      <c r="G42" s="1638">
        <f>$C42*D42*GPC!$F$84</f>
        <v>0</v>
      </c>
      <c r="H42" s="1638">
        <f>$C42*E42*GPC!$F$86</f>
        <v>0</v>
      </c>
      <c r="I42" s="1638">
        <f>$C42*F42*GPC!$F$87</f>
        <v>0</v>
      </c>
      <c r="J42" s="1639">
        <f t="shared" si="0"/>
        <v>0</v>
      </c>
      <c r="L42" s="1265" t="s">
        <v>2016</v>
      </c>
      <c r="M42" s="1084"/>
      <c r="N42" s="1739">
        <v>7900</v>
      </c>
      <c r="O42" s="1268">
        <v>1.5</v>
      </c>
      <c r="P42" s="1268">
        <v>0.2</v>
      </c>
      <c r="Q42" s="1638">
        <f>$M42*N42*GPC!$F$84</f>
        <v>0</v>
      </c>
      <c r="R42" s="1638">
        <f>$M42*O42*GPC!$F$86</f>
        <v>0</v>
      </c>
      <c r="S42" s="1638">
        <f>$M42*P42*GPC!$F$87</f>
        <v>0</v>
      </c>
      <c r="T42" s="1639">
        <f t="shared" si="1"/>
        <v>0</v>
      </c>
    </row>
    <row r="43" spans="2:20">
      <c r="B43" s="1266" t="s">
        <v>2026</v>
      </c>
      <c r="C43" s="1084"/>
      <c r="D43" s="1739">
        <v>2680</v>
      </c>
      <c r="E43" s="1268">
        <v>0.3</v>
      </c>
      <c r="F43" s="1268">
        <v>0.1</v>
      </c>
      <c r="G43" s="1638">
        <f>$C43*D43*GPC!$F$84</f>
        <v>0</v>
      </c>
      <c r="H43" s="1638">
        <f>$C43*E43*GPC!$F$86</f>
        <v>0</v>
      </c>
      <c r="I43" s="1638">
        <f>$C43*F43*GPC!$F$87</f>
        <v>0</v>
      </c>
      <c r="J43" s="1639">
        <f t="shared" si="0"/>
        <v>0</v>
      </c>
      <c r="L43" s="1265" t="s">
        <v>2017</v>
      </c>
      <c r="M43" s="1084"/>
      <c r="N43" s="1739">
        <v>7900</v>
      </c>
      <c r="O43" s="1268">
        <v>1.5</v>
      </c>
      <c r="P43" s="1268">
        <v>0.2</v>
      </c>
      <c r="Q43" s="1638">
        <f>$M43*N43*GPC!$F$84</f>
        <v>0</v>
      </c>
      <c r="R43" s="1638">
        <f>$M43*O43*GPC!$F$86</f>
        <v>0</v>
      </c>
      <c r="S43" s="1638">
        <f>$M43*P43*GPC!$F$87</f>
        <v>0</v>
      </c>
      <c r="T43" s="1639">
        <f t="shared" si="1"/>
        <v>0</v>
      </c>
    </row>
    <row r="44" spans="2:20">
      <c r="B44" s="1266" t="s">
        <v>2027</v>
      </c>
      <c r="C44" s="1084"/>
      <c r="D44" s="1739">
        <v>2680</v>
      </c>
      <c r="E44" s="1268">
        <v>0.3</v>
      </c>
      <c r="F44" s="1268">
        <v>0.1</v>
      </c>
      <c r="G44" s="1638">
        <f>$C44*D44*GPC!$F$84</f>
        <v>0</v>
      </c>
      <c r="H44" s="1638">
        <f>$C44*E44*GPC!$F$86</f>
        <v>0</v>
      </c>
      <c r="I44" s="1638">
        <f>$C44*F44*GPC!$F$87</f>
        <v>0</v>
      </c>
      <c r="J44" s="1639">
        <f t="shared" si="0"/>
        <v>0</v>
      </c>
      <c r="L44" s="1265" t="s">
        <v>2018</v>
      </c>
      <c r="M44" s="1084"/>
      <c r="N44" s="1739">
        <v>7900</v>
      </c>
      <c r="O44" s="1268">
        <v>1.5</v>
      </c>
      <c r="P44" s="1268">
        <v>0.2</v>
      </c>
      <c r="Q44" s="1638">
        <f>$M44*N44*GPC!$F$84</f>
        <v>0</v>
      </c>
      <c r="R44" s="1638">
        <f>$M44*O44*GPC!$F$86</f>
        <v>0</v>
      </c>
      <c r="S44" s="1638">
        <f>$M44*P44*GPC!$F$87</f>
        <v>0</v>
      </c>
      <c r="T44" s="1639">
        <f t="shared" si="1"/>
        <v>0</v>
      </c>
    </row>
    <row r="45" spans="2:20">
      <c r="B45" s="1266" t="s">
        <v>2028</v>
      </c>
      <c r="C45" s="1084"/>
      <c r="D45" s="1739">
        <v>2680</v>
      </c>
      <c r="E45" s="1268">
        <v>0.3</v>
      </c>
      <c r="F45" s="1268">
        <v>0.1</v>
      </c>
      <c r="G45" s="1638">
        <f>$C45*D45*GPC!$F$84</f>
        <v>0</v>
      </c>
      <c r="H45" s="1638">
        <f>$C45*E45*GPC!$F$86</f>
        <v>0</v>
      </c>
      <c r="I45" s="1638">
        <f>$C45*F45*GPC!$F$87</f>
        <v>0</v>
      </c>
      <c r="J45" s="1639">
        <f>SUM(G45:I45)/1000</f>
        <v>0</v>
      </c>
      <c r="L45" s="1265" t="s">
        <v>2019</v>
      </c>
      <c r="M45" s="1084"/>
      <c r="N45" s="1739">
        <v>7900</v>
      </c>
      <c r="O45" s="1268">
        <v>1.5</v>
      </c>
      <c r="P45" s="1268">
        <v>0.2</v>
      </c>
      <c r="Q45" s="1638">
        <f>$M45*N45*GPC!$F$84</f>
        <v>0</v>
      </c>
      <c r="R45" s="1638">
        <f>$M45*O45*GPC!$F$86</f>
        <v>0</v>
      </c>
      <c r="S45" s="1638">
        <f>$M45*P45*GPC!$F$87</f>
        <v>0</v>
      </c>
      <c r="T45" s="1639">
        <f t="shared" si="1"/>
        <v>0</v>
      </c>
    </row>
    <row r="46" spans="2:20">
      <c r="B46" s="1266" t="s">
        <v>2029</v>
      </c>
      <c r="C46" s="1084"/>
      <c r="D46" s="1739">
        <v>2680</v>
      </c>
      <c r="E46" s="1268">
        <v>0.3</v>
      </c>
      <c r="F46" s="1268">
        <v>0.1</v>
      </c>
      <c r="G46" s="1638">
        <f>$C46*D46*GPC!$F$84</f>
        <v>0</v>
      </c>
      <c r="H46" s="1638">
        <f>$C46*E46*GPC!$F$86</f>
        <v>0</v>
      </c>
      <c r="I46" s="1638">
        <f>$C46*F46*GPC!$F$87</f>
        <v>0</v>
      </c>
      <c r="J46" s="1639">
        <f t="shared" si="0"/>
        <v>0</v>
      </c>
      <c r="L46" s="1265" t="s">
        <v>2020</v>
      </c>
      <c r="M46" s="1084"/>
      <c r="N46" s="1739">
        <v>7900</v>
      </c>
      <c r="O46" s="1268">
        <v>1.5</v>
      </c>
      <c r="P46" s="1268">
        <v>0.2</v>
      </c>
      <c r="Q46" s="1638">
        <f>$M46*N46*GPC!$F$84</f>
        <v>0</v>
      </c>
      <c r="R46" s="1638">
        <f>$M46*O46*GPC!$F$86</f>
        <v>0</v>
      </c>
      <c r="S46" s="1638">
        <f>$M46*P46*GPC!$F$87</f>
        <v>0</v>
      </c>
      <c r="T46" s="1639">
        <f t="shared" si="1"/>
        <v>0</v>
      </c>
    </row>
    <row r="47" spans="2:20">
      <c r="B47" s="1266" t="s">
        <v>2030</v>
      </c>
      <c r="C47" s="1084"/>
      <c r="D47" s="1739">
        <v>2680</v>
      </c>
      <c r="E47" s="1268">
        <v>0.3</v>
      </c>
      <c r="F47" s="1268">
        <v>0.1</v>
      </c>
      <c r="G47" s="1638">
        <f>$C47*D47*GPC!$F$84</f>
        <v>0</v>
      </c>
      <c r="H47" s="1638">
        <f>$C47*E47*GPC!$F$86</f>
        <v>0</v>
      </c>
      <c r="I47" s="1638">
        <f>$C47*F47*GPC!$F$87</f>
        <v>0</v>
      </c>
      <c r="J47" s="1639">
        <f t="shared" si="0"/>
        <v>0</v>
      </c>
      <c r="L47" s="1265" t="s">
        <v>2021</v>
      </c>
      <c r="M47" s="1084"/>
      <c r="N47" s="1739">
        <v>7900</v>
      </c>
      <c r="O47" s="1268">
        <v>1.5</v>
      </c>
      <c r="P47" s="1268">
        <v>0.2</v>
      </c>
      <c r="Q47" s="1638">
        <f>$M47*N47*GPC!$F$84</f>
        <v>0</v>
      </c>
      <c r="R47" s="1638">
        <f>$M47*O47*GPC!$F$86</f>
        <v>0</v>
      </c>
      <c r="S47" s="1638">
        <f>$M47*P47*GPC!$F$87</f>
        <v>0</v>
      </c>
      <c r="T47" s="1639">
        <f t="shared" si="1"/>
        <v>0</v>
      </c>
    </row>
    <row r="48" spans="2:20">
      <c r="B48" s="1266" t="s">
        <v>2031</v>
      </c>
      <c r="C48" s="1084"/>
      <c r="D48" s="1739">
        <v>2680</v>
      </c>
      <c r="E48" s="1268">
        <v>0.3</v>
      </c>
      <c r="F48" s="1268">
        <v>0.1</v>
      </c>
      <c r="G48" s="1638">
        <f>$C48*D48*GPC!$F$84</f>
        <v>0</v>
      </c>
      <c r="H48" s="1638">
        <f>$C48*E48*GPC!$F$86</f>
        <v>0</v>
      </c>
      <c r="I48" s="1638">
        <f>$C48*F48*GPC!$F$87</f>
        <v>0</v>
      </c>
      <c r="J48" s="1639">
        <f t="shared" si="0"/>
        <v>0</v>
      </c>
      <c r="L48" s="1265" t="s">
        <v>2075</v>
      </c>
      <c r="M48" s="1084"/>
      <c r="N48" s="1739">
        <v>7900</v>
      </c>
      <c r="O48" s="1268">
        <v>1.5</v>
      </c>
      <c r="P48" s="1268">
        <v>0.2</v>
      </c>
      <c r="Q48" s="1638">
        <f>$M48*N48*GPC!$F$84</f>
        <v>0</v>
      </c>
      <c r="R48" s="1638">
        <f>$M48*O48*GPC!$F$86</f>
        <v>0</v>
      </c>
      <c r="S48" s="1638">
        <f>$M48*P48*GPC!$F$87</f>
        <v>0</v>
      </c>
      <c r="T48" s="1639">
        <f t="shared" si="1"/>
        <v>0</v>
      </c>
    </row>
    <row r="49" spans="2:20">
      <c r="B49" s="1266" t="s">
        <v>2032</v>
      </c>
      <c r="C49" s="1084"/>
      <c r="D49" s="1739">
        <v>2680</v>
      </c>
      <c r="E49" s="1268">
        <v>0.3</v>
      </c>
      <c r="F49" s="1268">
        <v>0.1</v>
      </c>
      <c r="G49" s="1638">
        <f>$C49*D49*GPC!$F$84</f>
        <v>0</v>
      </c>
      <c r="H49" s="1638">
        <f>$C49*E49*GPC!$F$86</f>
        <v>0</v>
      </c>
      <c r="I49" s="1638">
        <f>$C49*F49*GPC!$F$87</f>
        <v>0</v>
      </c>
      <c r="J49" s="1639">
        <f t="shared" si="0"/>
        <v>0</v>
      </c>
      <c r="L49" s="1265" t="s">
        <v>2022</v>
      </c>
      <c r="M49" s="1084"/>
      <c r="N49" s="1739">
        <v>7900</v>
      </c>
      <c r="O49" s="1268">
        <v>1.5</v>
      </c>
      <c r="P49" s="1268">
        <v>0.2</v>
      </c>
      <c r="Q49" s="1638">
        <f>$M49*N49*GPC!$F$84</f>
        <v>0</v>
      </c>
      <c r="R49" s="1638">
        <f>$M49*O49*GPC!$F$86</f>
        <v>0</v>
      </c>
      <c r="S49" s="1638">
        <f>$M49*P49*GPC!$F$87</f>
        <v>0</v>
      </c>
      <c r="T49" s="1639">
        <f t="shared" si="1"/>
        <v>0</v>
      </c>
    </row>
    <row r="50" spans="2:20">
      <c r="B50" s="1266" t="s">
        <v>2033</v>
      </c>
      <c r="C50" s="1084"/>
      <c r="D50" s="1739">
        <v>2680</v>
      </c>
      <c r="E50" s="1268">
        <v>0.3</v>
      </c>
      <c r="F50" s="1268">
        <v>0.1</v>
      </c>
      <c r="G50" s="1638">
        <f>$C50*D50*GPC!$F$84</f>
        <v>0</v>
      </c>
      <c r="H50" s="1638">
        <f>$C50*E50*GPC!$F$86</f>
        <v>0</v>
      </c>
      <c r="I50" s="1638">
        <f>$C50*F50*GPC!$F$87</f>
        <v>0</v>
      </c>
      <c r="J50" s="1639">
        <f t="shared" si="0"/>
        <v>0</v>
      </c>
      <c r="L50" s="1265" t="s">
        <v>2076</v>
      </c>
      <c r="M50" s="1084"/>
      <c r="N50" s="1739">
        <v>7900</v>
      </c>
      <c r="O50" s="1268">
        <v>1.5</v>
      </c>
      <c r="P50" s="1268">
        <v>0.2</v>
      </c>
      <c r="Q50" s="1638">
        <f>$M50*N50*GPC!$F$84</f>
        <v>0</v>
      </c>
      <c r="R50" s="1638">
        <f>$M50*O50*GPC!$F$86</f>
        <v>0</v>
      </c>
      <c r="S50" s="1638">
        <f>$M50*P50*GPC!$F$87</f>
        <v>0</v>
      </c>
      <c r="T50" s="1639">
        <f t="shared" si="1"/>
        <v>0</v>
      </c>
    </row>
    <row r="51" spans="2:20">
      <c r="B51" s="1266" t="s">
        <v>2034</v>
      </c>
      <c r="C51" s="1084"/>
      <c r="D51" s="1739">
        <v>2680</v>
      </c>
      <c r="E51" s="1268">
        <v>0.3</v>
      </c>
      <c r="F51" s="1268">
        <v>0.1</v>
      </c>
      <c r="G51" s="1638">
        <f>$C51*D51*GPC!$F$84</f>
        <v>0</v>
      </c>
      <c r="H51" s="1638">
        <f>$C51*E51*GPC!$F$86</f>
        <v>0</v>
      </c>
      <c r="I51" s="1638">
        <f>$C51*F51*GPC!$F$87</f>
        <v>0</v>
      </c>
      <c r="J51" s="1639">
        <f t="shared" si="0"/>
        <v>0</v>
      </c>
      <c r="L51" s="1265" t="s">
        <v>2077</v>
      </c>
      <c r="M51" s="1084"/>
      <c r="N51" s="1739">
        <v>7900</v>
      </c>
      <c r="O51" s="1268">
        <v>1.5</v>
      </c>
      <c r="P51" s="1268">
        <v>0.2</v>
      </c>
      <c r="Q51" s="1638">
        <f>$M51*N51*GPC!$F$84</f>
        <v>0</v>
      </c>
      <c r="R51" s="1638">
        <f>$M51*O51*GPC!$F$86</f>
        <v>0</v>
      </c>
      <c r="S51" s="1638">
        <f>$M51*P51*GPC!$F$87</f>
        <v>0</v>
      </c>
      <c r="T51" s="1639">
        <f t="shared" si="1"/>
        <v>0</v>
      </c>
    </row>
    <row r="52" spans="2:20">
      <c r="B52" s="1266" t="s">
        <v>2035</v>
      </c>
      <c r="C52" s="1084"/>
      <c r="D52" s="1739">
        <v>2680</v>
      </c>
      <c r="E52" s="1268">
        <v>0.3</v>
      </c>
      <c r="F52" s="1268">
        <v>0.1</v>
      </c>
      <c r="G52" s="1638">
        <f>$C52*D52*GPC!$F$84</f>
        <v>0</v>
      </c>
      <c r="H52" s="1638">
        <f>$C52*E52*GPC!$F$86</f>
        <v>0</v>
      </c>
      <c r="I52" s="1638">
        <f>$C52*F52*GPC!$F$87</f>
        <v>0</v>
      </c>
      <c r="J52" s="1639">
        <f t="shared" si="0"/>
        <v>0</v>
      </c>
      <c r="L52" s="1265" t="s">
        <v>2078</v>
      </c>
      <c r="M52" s="1084"/>
      <c r="N52" s="1739">
        <v>7900</v>
      </c>
      <c r="O52" s="1268">
        <v>1.5</v>
      </c>
      <c r="P52" s="1268">
        <v>0.2</v>
      </c>
      <c r="Q52" s="1638">
        <f>$M52*N52*GPC!$F$84</f>
        <v>0</v>
      </c>
      <c r="R52" s="1638">
        <f>$M52*O52*GPC!$F$86</f>
        <v>0</v>
      </c>
      <c r="S52" s="1638">
        <f>$M52*P52*GPC!$F$87</f>
        <v>0</v>
      </c>
      <c r="T52" s="1639">
        <f t="shared" si="1"/>
        <v>0</v>
      </c>
    </row>
    <row r="53" spans="2:20">
      <c r="B53" s="1266" t="s">
        <v>2036</v>
      </c>
      <c r="C53" s="1084"/>
      <c r="D53" s="1739">
        <v>2680</v>
      </c>
      <c r="E53" s="1268">
        <v>0.3</v>
      </c>
      <c r="F53" s="1268">
        <v>0.1</v>
      </c>
      <c r="G53" s="1638">
        <f>$C53*D53*GPC!$F$84</f>
        <v>0</v>
      </c>
      <c r="H53" s="1638">
        <f>$C53*E53*GPC!$F$86</f>
        <v>0</v>
      </c>
      <c r="I53" s="1638">
        <f>$C53*F53*GPC!$F$87</f>
        <v>0</v>
      </c>
      <c r="J53" s="1639">
        <f t="shared" si="0"/>
        <v>0</v>
      </c>
      <c r="L53" s="1265" t="s">
        <v>2026</v>
      </c>
      <c r="M53" s="1084"/>
      <c r="N53" s="1739">
        <v>7900</v>
      </c>
      <c r="O53" s="1268">
        <v>1.5</v>
      </c>
      <c r="P53" s="1268">
        <v>0.2</v>
      </c>
      <c r="Q53" s="1638">
        <f>$M53*N53*GPC!$F$84</f>
        <v>0</v>
      </c>
      <c r="R53" s="1638">
        <f>$M53*O53*GPC!$F$86</f>
        <v>0</v>
      </c>
      <c r="S53" s="1638">
        <f>$M53*P53*GPC!$F$87</f>
        <v>0</v>
      </c>
      <c r="T53" s="1639">
        <f t="shared" si="1"/>
        <v>0</v>
      </c>
    </row>
    <row r="54" spans="2:20">
      <c r="B54" s="1266" t="s">
        <v>740</v>
      </c>
      <c r="C54" s="1084"/>
      <c r="D54" s="1739">
        <v>2680</v>
      </c>
      <c r="E54" s="1268">
        <v>0.3</v>
      </c>
      <c r="F54" s="1268">
        <v>0.1</v>
      </c>
      <c r="G54" s="1638">
        <f>$C54*D54*GPC!$F$84</f>
        <v>0</v>
      </c>
      <c r="H54" s="1638">
        <f>$C54*E54*GPC!$F$86</f>
        <v>0</v>
      </c>
      <c r="I54" s="1638">
        <f>$C54*F54*GPC!$F$87</f>
        <v>0</v>
      </c>
      <c r="J54" s="1639">
        <f t="shared" si="0"/>
        <v>0</v>
      </c>
      <c r="L54" s="1265" t="s">
        <v>2079</v>
      </c>
      <c r="M54" s="1084"/>
      <c r="N54" s="1739">
        <v>7900</v>
      </c>
      <c r="O54" s="1268">
        <v>1.5</v>
      </c>
      <c r="P54" s="1268">
        <v>0.2</v>
      </c>
      <c r="Q54" s="1638">
        <f>$M54*N54*GPC!$F$84</f>
        <v>0</v>
      </c>
      <c r="R54" s="1638">
        <f>$M54*O54*GPC!$F$86</f>
        <v>0</v>
      </c>
      <c r="S54" s="1638">
        <f>$M54*P54*GPC!$F$87</f>
        <v>0</v>
      </c>
      <c r="T54" s="1639">
        <f t="shared" si="1"/>
        <v>0</v>
      </c>
    </row>
    <row r="55" spans="2:20">
      <c r="B55" s="1266" t="s">
        <v>761</v>
      </c>
      <c r="C55" s="1084"/>
      <c r="D55" s="1738">
        <v>2160</v>
      </c>
      <c r="E55" s="1268">
        <v>0.3</v>
      </c>
      <c r="F55" s="1268">
        <v>0.1</v>
      </c>
      <c r="G55" s="1638">
        <f>$C55*D55*GPC!$F$84</f>
        <v>0</v>
      </c>
      <c r="H55" s="1638">
        <f>$C55*E55*GPC!$F$86</f>
        <v>0</v>
      </c>
      <c r="I55" s="1638">
        <f>$C55*F55*GPC!$F$87</f>
        <v>0</v>
      </c>
      <c r="J55" s="1639">
        <f t="shared" si="0"/>
        <v>0</v>
      </c>
      <c r="L55" s="1265" t="s">
        <v>2024</v>
      </c>
      <c r="M55" s="1084"/>
      <c r="N55" s="1739">
        <v>7900</v>
      </c>
      <c r="O55" s="1268">
        <v>1.5</v>
      </c>
      <c r="P55" s="1268">
        <v>0.2</v>
      </c>
      <c r="Q55" s="1638">
        <f>$M55*N55*GPC!$F$84</f>
        <v>0</v>
      </c>
      <c r="R55" s="1638">
        <f>$M55*O55*GPC!$F$86</f>
        <v>0</v>
      </c>
      <c r="S55" s="1638">
        <f>$M55*P55*GPC!$F$87</f>
        <v>0</v>
      </c>
      <c r="T55" s="1639">
        <f t="shared" si="1"/>
        <v>0</v>
      </c>
    </row>
    <row r="56" spans="2:20">
      <c r="B56" s="1266" t="s">
        <v>2037</v>
      </c>
      <c r="C56" s="1084"/>
      <c r="D56" s="1738">
        <v>1890</v>
      </c>
      <c r="E56" s="1268">
        <v>0.3</v>
      </c>
      <c r="F56" s="1268">
        <v>0.1</v>
      </c>
      <c r="G56" s="1638">
        <f>$C56*D56*GPC!$F$84</f>
        <v>0</v>
      </c>
      <c r="H56" s="1638">
        <f>$C56*E56*GPC!$F$86</f>
        <v>0</v>
      </c>
      <c r="I56" s="1638">
        <f>$C56*F56*GPC!$F$87</f>
        <v>0</v>
      </c>
      <c r="J56" s="1639">
        <f t="shared" si="0"/>
        <v>0</v>
      </c>
      <c r="L56" s="1265" t="s">
        <v>2080</v>
      </c>
      <c r="M56" s="1084"/>
      <c r="N56" s="1739">
        <v>7900</v>
      </c>
      <c r="O56" s="1268">
        <v>1.5</v>
      </c>
      <c r="P56" s="1268">
        <v>0.2</v>
      </c>
      <c r="Q56" s="1638">
        <f>$M56*N56*GPC!$F$84</f>
        <v>0</v>
      </c>
      <c r="R56" s="1638">
        <f>$M56*O56*GPC!$F$86</f>
        <v>0</v>
      </c>
      <c r="S56" s="1638">
        <f>$M56*P56*GPC!$F$87</f>
        <v>0</v>
      </c>
      <c r="T56" s="1639">
        <f t="shared" si="1"/>
        <v>0</v>
      </c>
    </row>
    <row r="57" spans="2:20">
      <c r="B57" s="1266" t="s">
        <v>2038</v>
      </c>
      <c r="C57" s="1084"/>
      <c r="D57" s="1739">
        <v>2680</v>
      </c>
      <c r="E57" s="1268">
        <v>0.3</v>
      </c>
      <c r="F57" s="1268">
        <v>0.1</v>
      </c>
      <c r="G57" s="1638">
        <f>$C57*D57*GPC!$F$84</f>
        <v>0</v>
      </c>
      <c r="H57" s="1638">
        <f>$C57*E57*GPC!$F$86</f>
        <v>0</v>
      </c>
      <c r="I57" s="1638">
        <f>$C57*F57*GPC!$F$87</f>
        <v>0</v>
      </c>
      <c r="J57" s="1639">
        <f t="shared" si="0"/>
        <v>0</v>
      </c>
      <c r="L57" s="1265" t="s">
        <v>2081</v>
      </c>
      <c r="M57" s="1084"/>
      <c r="N57" s="1739">
        <v>7900</v>
      </c>
      <c r="O57" s="1268">
        <v>1.5</v>
      </c>
      <c r="P57" s="1268">
        <v>0.2</v>
      </c>
      <c r="Q57" s="1638">
        <f>$M57*N57*GPC!$F$84</f>
        <v>0</v>
      </c>
      <c r="R57" s="1638">
        <f>$M57*O57*GPC!$F$86</f>
        <v>0</v>
      </c>
      <c r="S57" s="1638">
        <f>$M57*P57*GPC!$F$87</f>
        <v>0</v>
      </c>
      <c r="T57" s="1639">
        <f t="shared" si="1"/>
        <v>0</v>
      </c>
    </row>
    <row r="58" spans="2:20">
      <c r="B58" s="1266" t="s">
        <v>2039</v>
      </c>
      <c r="C58" s="1084"/>
      <c r="D58" s="1739">
        <v>2680</v>
      </c>
      <c r="E58" s="1268">
        <v>0.3</v>
      </c>
      <c r="F58" s="1268">
        <v>0.1</v>
      </c>
      <c r="G58" s="1638">
        <f>$C58*D58*GPC!$F$84</f>
        <v>0</v>
      </c>
      <c r="H58" s="1638">
        <f>$C58*E58*GPC!$F$86</f>
        <v>0</v>
      </c>
      <c r="I58" s="1638">
        <f>$C58*F58*GPC!$F$87</f>
        <v>0</v>
      </c>
      <c r="J58" s="1639">
        <f t="shared" si="0"/>
        <v>0</v>
      </c>
      <c r="L58" s="1265" t="s">
        <v>2030</v>
      </c>
      <c r="M58" s="1084"/>
      <c r="N58" s="1739">
        <v>7900</v>
      </c>
      <c r="O58" s="1268">
        <v>1.5</v>
      </c>
      <c r="P58" s="1268">
        <v>0.2</v>
      </c>
      <c r="Q58" s="1638">
        <f>$M58*N58*GPC!$F$84</f>
        <v>0</v>
      </c>
      <c r="R58" s="1638">
        <f>$M58*O58*GPC!$F$86</f>
        <v>0</v>
      </c>
      <c r="S58" s="1638">
        <f>$M58*P58*GPC!$F$87</f>
        <v>0</v>
      </c>
      <c r="T58" s="1639">
        <f t="shared" si="1"/>
        <v>0</v>
      </c>
    </row>
    <row r="59" spans="2:20">
      <c r="B59" s="1266" t="s">
        <v>2040</v>
      </c>
      <c r="C59" s="1084"/>
      <c r="D59" s="1739">
        <v>2680</v>
      </c>
      <c r="E59" s="1268">
        <v>0.3</v>
      </c>
      <c r="F59" s="1268">
        <v>0.1</v>
      </c>
      <c r="G59" s="1638">
        <f>$C59*D59*GPC!$F$84</f>
        <v>0</v>
      </c>
      <c r="H59" s="1638">
        <f>$C59*E59*GPC!$F$86</f>
        <v>0</v>
      </c>
      <c r="I59" s="1638">
        <f>$C59*F59*GPC!$F$87</f>
        <v>0</v>
      </c>
      <c r="J59" s="1639">
        <f t="shared" si="0"/>
        <v>0</v>
      </c>
      <c r="L59" s="1265" t="s">
        <v>2031</v>
      </c>
      <c r="M59" s="1084"/>
      <c r="N59" s="1739">
        <v>7900</v>
      </c>
      <c r="O59" s="1268">
        <v>1.5</v>
      </c>
      <c r="P59" s="1268">
        <v>0.2</v>
      </c>
      <c r="Q59" s="1638">
        <f>$M59*N59*GPC!$F$84</f>
        <v>0</v>
      </c>
      <c r="R59" s="1638">
        <f>$M59*O59*GPC!$F$86</f>
        <v>0</v>
      </c>
      <c r="S59" s="1638">
        <f>$M59*P59*GPC!$F$87</f>
        <v>0</v>
      </c>
      <c r="T59" s="1639">
        <f t="shared" si="1"/>
        <v>0</v>
      </c>
    </row>
    <row r="60" spans="2:20">
      <c r="B60" s="1266" t="s">
        <v>2041</v>
      </c>
      <c r="C60" s="1084"/>
      <c r="D60" s="1739">
        <v>2680</v>
      </c>
      <c r="E60" s="1268">
        <v>0.3</v>
      </c>
      <c r="F60" s="1268">
        <v>0.1</v>
      </c>
      <c r="G60" s="1638">
        <f>$C60*D60*GPC!$F$84</f>
        <v>0</v>
      </c>
      <c r="H60" s="1638">
        <f>$C60*E60*GPC!$F$86</f>
        <v>0</v>
      </c>
      <c r="I60" s="1638">
        <f>$C60*F60*GPC!$F$87</f>
        <v>0</v>
      </c>
      <c r="J60" s="1639">
        <f t="shared" si="0"/>
        <v>0</v>
      </c>
      <c r="L60" s="1265" t="s">
        <v>2082</v>
      </c>
      <c r="M60" s="1084"/>
      <c r="N60" s="1739">
        <v>7900</v>
      </c>
      <c r="O60" s="1268">
        <v>1.5</v>
      </c>
      <c r="P60" s="1268">
        <v>0.2</v>
      </c>
      <c r="Q60" s="1638">
        <f>$M60*N60*GPC!$F$84</f>
        <v>0</v>
      </c>
      <c r="R60" s="1638">
        <f>$M60*O60*GPC!$F$86</f>
        <v>0</v>
      </c>
      <c r="S60" s="1638">
        <f>$M60*P60*GPC!$F$87</f>
        <v>0</v>
      </c>
      <c r="T60" s="1639">
        <f t="shared" si="1"/>
        <v>0</v>
      </c>
    </row>
    <row r="61" spans="2:20">
      <c r="B61" s="1266" t="s">
        <v>2042</v>
      </c>
      <c r="C61" s="1084"/>
      <c r="D61" s="1739">
        <v>2680</v>
      </c>
      <c r="E61" s="1268">
        <v>0.3</v>
      </c>
      <c r="F61" s="1268">
        <v>0.1</v>
      </c>
      <c r="G61" s="1638">
        <f>$C61*D61*GPC!$F$84</f>
        <v>0</v>
      </c>
      <c r="H61" s="1638">
        <f>$C61*E61*GPC!$F$86</f>
        <v>0</v>
      </c>
      <c r="I61" s="1638">
        <f>$C61*F61*GPC!$F$87</f>
        <v>0</v>
      </c>
      <c r="J61" s="1639">
        <f t="shared" si="0"/>
        <v>0</v>
      </c>
      <c r="L61" s="1265" t="s">
        <v>2036</v>
      </c>
      <c r="M61" s="1084"/>
      <c r="N61" s="1739">
        <v>7900</v>
      </c>
      <c r="O61" s="1268">
        <v>1.5</v>
      </c>
      <c r="P61" s="1268">
        <v>0.2</v>
      </c>
      <c r="Q61" s="1638">
        <f>$M61*N61*GPC!$F$84</f>
        <v>0</v>
      </c>
      <c r="R61" s="1638">
        <f>$M61*O61*GPC!$F$86</f>
        <v>0</v>
      </c>
      <c r="S61" s="1638">
        <f>$M61*P61*GPC!$F$87</f>
        <v>0</v>
      </c>
      <c r="T61" s="1639">
        <f t="shared" si="1"/>
        <v>0</v>
      </c>
    </row>
    <row r="62" spans="2:20" s="1269" customFormat="1">
      <c r="B62" s="1266" t="s">
        <v>2043</v>
      </c>
      <c r="C62" s="1084"/>
      <c r="D62" s="1739">
        <v>2680</v>
      </c>
      <c r="E62" s="1268">
        <v>0.3</v>
      </c>
      <c r="F62" s="1268">
        <v>0.1</v>
      </c>
      <c r="G62" s="1638">
        <f>$C62*D62*GPC!$F$84</f>
        <v>0</v>
      </c>
      <c r="H62" s="1638">
        <f>$C62*E62*GPC!$F$86</f>
        <v>0</v>
      </c>
      <c r="I62" s="1638">
        <f>$C62*F62*GPC!$F$87</f>
        <v>0</v>
      </c>
      <c r="J62" s="1639">
        <f t="shared" si="0"/>
        <v>0</v>
      </c>
      <c r="L62" s="1265" t="s">
        <v>2034</v>
      </c>
      <c r="M62" s="1084"/>
      <c r="N62" s="1739">
        <v>7900</v>
      </c>
      <c r="O62" s="1268">
        <v>1.5</v>
      </c>
      <c r="P62" s="1268">
        <v>0.2</v>
      </c>
      <c r="Q62" s="1638">
        <f>$M62*N62*GPC!$F$84</f>
        <v>0</v>
      </c>
      <c r="R62" s="1638">
        <f>$M62*O62*GPC!$F$86</f>
        <v>0</v>
      </c>
      <c r="S62" s="1638">
        <f>$M62*P62*GPC!$F$87</f>
        <v>0</v>
      </c>
      <c r="T62" s="1639">
        <f t="shared" si="1"/>
        <v>0</v>
      </c>
    </row>
    <row r="63" spans="2:20">
      <c r="B63" s="1266" t="s">
        <v>2044</v>
      </c>
      <c r="C63" s="1084"/>
      <c r="D63" s="1739">
        <v>2680</v>
      </c>
      <c r="E63" s="1268">
        <v>0.3</v>
      </c>
      <c r="F63" s="1268">
        <v>0.1</v>
      </c>
      <c r="G63" s="1638">
        <f>$C63*D63*GPC!$F$84</f>
        <v>0</v>
      </c>
      <c r="H63" s="1638">
        <f>$C63*E63*GPC!$F$86</f>
        <v>0</v>
      </c>
      <c r="I63" s="1638">
        <f>$C63*F63*GPC!$F$87</f>
        <v>0</v>
      </c>
      <c r="J63" s="1639">
        <f t="shared" si="0"/>
        <v>0</v>
      </c>
      <c r="L63" s="1265" t="s">
        <v>2035</v>
      </c>
      <c r="M63" s="1084"/>
      <c r="N63" s="1739">
        <v>7900</v>
      </c>
      <c r="O63" s="1268">
        <v>1.5</v>
      </c>
      <c r="P63" s="1268">
        <v>0.2</v>
      </c>
      <c r="Q63" s="1638">
        <f>$M63*N63*GPC!$F$84</f>
        <v>0</v>
      </c>
      <c r="R63" s="1638">
        <f>$M63*O63*GPC!$F$86</f>
        <v>0</v>
      </c>
      <c r="S63" s="1638">
        <f>$M63*P63*GPC!$F$87</f>
        <v>0</v>
      </c>
      <c r="T63" s="1639">
        <f t="shared" si="1"/>
        <v>0</v>
      </c>
    </row>
    <row r="64" spans="2:20">
      <c r="B64" s="1266" t="s">
        <v>2045</v>
      </c>
      <c r="C64" s="1084"/>
      <c r="D64" s="1739">
        <v>2680</v>
      </c>
      <c r="E64" s="1268">
        <v>0.3</v>
      </c>
      <c r="F64" s="1268">
        <v>0.1</v>
      </c>
      <c r="G64" s="1638">
        <f>$C64*D64*GPC!$F$84</f>
        <v>0</v>
      </c>
      <c r="H64" s="1638">
        <f>$C64*E64*GPC!$F$86</f>
        <v>0</v>
      </c>
      <c r="I64" s="1638">
        <f>$C64*F64*GPC!$F$87</f>
        <v>0</v>
      </c>
      <c r="J64" s="1639">
        <f t="shared" si="0"/>
        <v>0</v>
      </c>
      <c r="L64" s="1265" t="s">
        <v>2083</v>
      </c>
      <c r="M64" s="1084"/>
      <c r="N64" s="1739">
        <v>7900</v>
      </c>
      <c r="O64" s="1268">
        <v>1.5</v>
      </c>
      <c r="P64" s="1268">
        <v>0.2</v>
      </c>
      <c r="Q64" s="1638">
        <f>$M64*N64*GPC!$F$84</f>
        <v>0</v>
      </c>
      <c r="R64" s="1638">
        <f>$M64*O64*GPC!$F$86</f>
        <v>0</v>
      </c>
      <c r="S64" s="1638">
        <f>$M64*P64*GPC!$F$87</f>
        <v>0</v>
      </c>
      <c r="T64" s="1639">
        <f t="shared" si="1"/>
        <v>0</v>
      </c>
    </row>
    <row r="65" spans="2:20">
      <c r="B65" s="1266" t="s">
        <v>2046</v>
      </c>
      <c r="C65" s="1084"/>
      <c r="D65" s="1739">
        <v>2680</v>
      </c>
      <c r="E65" s="1268">
        <v>0.3</v>
      </c>
      <c r="F65" s="1268">
        <v>0.1</v>
      </c>
      <c r="G65" s="1638">
        <f>$C65*D65*GPC!$F$84</f>
        <v>0</v>
      </c>
      <c r="H65" s="1638">
        <f>$C65*E65*GPC!$F$86</f>
        <v>0</v>
      </c>
      <c r="I65" s="1638">
        <f>$C65*F65*GPC!$F$87</f>
        <v>0</v>
      </c>
      <c r="J65" s="1639">
        <f t="shared" si="0"/>
        <v>0</v>
      </c>
      <c r="L65" s="1265" t="s">
        <v>2084</v>
      </c>
      <c r="M65" s="1084"/>
      <c r="N65" s="1739">
        <v>7900</v>
      </c>
      <c r="O65" s="1268">
        <v>1.5</v>
      </c>
      <c r="P65" s="1268">
        <v>0.2</v>
      </c>
      <c r="Q65" s="1638">
        <f>$M65*N65*GPC!$F$84</f>
        <v>0</v>
      </c>
      <c r="R65" s="1638">
        <f>$M65*O65*GPC!$F$86</f>
        <v>0</v>
      </c>
      <c r="S65" s="1638">
        <f>$M65*P65*GPC!$F$87</f>
        <v>0</v>
      </c>
      <c r="T65" s="1639">
        <f t="shared" si="1"/>
        <v>0</v>
      </c>
    </row>
    <row r="66" spans="2:20">
      <c r="B66" s="1266" t="s">
        <v>2047</v>
      </c>
      <c r="C66" s="1084"/>
      <c r="D66" s="1739">
        <v>2680</v>
      </c>
      <c r="E66" s="1268">
        <v>0.3</v>
      </c>
      <c r="F66" s="1268">
        <v>0.1</v>
      </c>
      <c r="G66" s="1638">
        <f>$C66*D66*GPC!$F$84</f>
        <v>0</v>
      </c>
      <c r="H66" s="1638">
        <f>$C66*E66*GPC!$F$86</f>
        <v>0</v>
      </c>
      <c r="I66" s="1638">
        <f>$C66*F66*GPC!$F$87</f>
        <v>0</v>
      </c>
      <c r="J66" s="1639">
        <f t="shared" si="0"/>
        <v>0</v>
      </c>
      <c r="L66" s="1265" t="s">
        <v>740</v>
      </c>
      <c r="M66" s="1084"/>
      <c r="N66" s="1739">
        <v>7900</v>
      </c>
      <c r="O66" s="1268">
        <v>1.5</v>
      </c>
      <c r="P66" s="1268">
        <v>0.2</v>
      </c>
      <c r="Q66" s="1638">
        <f>$M66*N66*GPC!$F$84</f>
        <v>0</v>
      </c>
      <c r="R66" s="1638">
        <f>$M66*O66*GPC!$F$86</f>
        <v>0</v>
      </c>
      <c r="S66" s="1638">
        <f>$M66*P66*GPC!$F$87</f>
        <v>0</v>
      </c>
      <c r="T66" s="1639">
        <f t="shared" si="1"/>
        <v>0</v>
      </c>
    </row>
    <row r="67" spans="2:20">
      <c r="B67" s="1266" t="s">
        <v>2048</v>
      </c>
      <c r="C67" s="1084"/>
      <c r="D67" s="1739">
        <v>2680</v>
      </c>
      <c r="E67" s="1268">
        <v>0.3</v>
      </c>
      <c r="F67" s="1268">
        <v>0.1</v>
      </c>
      <c r="G67" s="1638">
        <f>$C67*D67*GPC!$F$84</f>
        <v>0</v>
      </c>
      <c r="H67" s="1638">
        <f>$C67*E67*GPC!$F$86</f>
        <v>0</v>
      </c>
      <c r="I67" s="1638">
        <f>$C67*F67*GPC!$F$87</f>
        <v>0</v>
      </c>
      <c r="J67" s="1639">
        <f t="shared" si="0"/>
        <v>0</v>
      </c>
      <c r="L67" s="1265" t="s">
        <v>761</v>
      </c>
      <c r="M67" s="1084"/>
      <c r="N67" s="1739">
        <v>7900</v>
      </c>
      <c r="O67" s="1268">
        <v>1.5</v>
      </c>
      <c r="P67" s="1268">
        <v>0.2</v>
      </c>
      <c r="Q67" s="1638">
        <f>$M67*N67*GPC!$F$84</f>
        <v>0</v>
      </c>
      <c r="R67" s="1638">
        <f>$M67*O67*GPC!$F$86</f>
        <v>0</v>
      </c>
      <c r="S67" s="1638">
        <f>$M67*P67*GPC!$F$87</f>
        <v>0</v>
      </c>
      <c r="T67" s="1639">
        <f t="shared" si="1"/>
        <v>0</v>
      </c>
    </row>
    <row r="68" spans="2:20">
      <c r="B68" s="1266" t="s">
        <v>2049</v>
      </c>
      <c r="C68" s="1084"/>
      <c r="D68" s="1739">
        <v>2680</v>
      </c>
      <c r="E68" s="1268">
        <v>0.3</v>
      </c>
      <c r="F68" s="1268">
        <v>0.1</v>
      </c>
      <c r="G68" s="1638">
        <f>$C68*D68*GPC!$F$84</f>
        <v>0</v>
      </c>
      <c r="H68" s="1638">
        <f>$C68*E68*GPC!$F$86</f>
        <v>0</v>
      </c>
      <c r="I68" s="1638">
        <f>$C68*F68*GPC!$F$87</f>
        <v>0</v>
      </c>
      <c r="J68" s="1639">
        <f t="shared" si="0"/>
        <v>0</v>
      </c>
      <c r="L68" s="1265" t="s">
        <v>2037</v>
      </c>
      <c r="M68" s="1084"/>
      <c r="N68" s="1739">
        <v>7900</v>
      </c>
      <c r="O68" s="1268">
        <v>1.5</v>
      </c>
      <c r="P68" s="1268">
        <v>0.2</v>
      </c>
      <c r="Q68" s="1638">
        <f>$M68*N68*GPC!$F$84</f>
        <v>0</v>
      </c>
      <c r="R68" s="1638">
        <f>$M68*O68*GPC!$F$86</f>
        <v>0</v>
      </c>
      <c r="S68" s="1638">
        <f>$M68*P68*GPC!$F$87</f>
        <v>0</v>
      </c>
      <c r="T68" s="1639">
        <f t="shared" si="1"/>
        <v>0</v>
      </c>
    </row>
    <row r="69" spans="2:20">
      <c r="B69" s="1266" t="s">
        <v>2050</v>
      </c>
      <c r="C69" s="1084"/>
      <c r="D69" s="1739">
        <v>2680</v>
      </c>
      <c r="E69" s="1268">
        <v>0.3</v>
      </c>
      <c r="F69" s="1268">
        <v>0.1</v>
      </c>
      <c r="G69" s="1638">
        <f>$C69*D69*GPC!$F$84</f>
        <v>0</v>
      </c>
      <c r="H69" s="1638">
        <f>$C69*E69*GPC!$F$86</f>
        <v>0</v>
      </c>
      <c r="I69" s="1638">
        <f>$C69*F69*GPC!$F$87</f>
        <v>0</v>
      </c>
      <c r="J69" s="1639">
        <f t="shared" si="0"/>
        <v>0</v>
      </c>
      <c r="L69" s="1265" t="s">
        <v>2038</v>
      </c>
      <c r="M69" s="1084"/>
      <c r="N69" s="1739">
        <v>7900</v>
      </c>
      <c r="O69" s="1268">
        <v>1.5</v>
      </c>
      <c r="P69" s="1268">
        <v>0.2</v>
      </c>
      <c r="Q69" s="1638">
        <f>$M69*N69*GPC!$F$84</f>
        <v>0</v>
      </c>
      <c r="R69" s="1638">
        <f>$M69*O69*GPC!$F$86</f>
        <v>0</v>
      </c>
      <c r="S69" s="1638">
        <f>$M69*P69*GPC!$F$87</f>
        <v>0</v>
      </c>
      <c r="T69" s="1639">
        <f t="shared" si="1"/>
        <v>0</v>
      </c>
    </row>
    <row r="70" spans="2:20">
      <c r="B70" s="1266" t="s">
        <v>2051</v>
      </c>
      <c r="C70" s="1084"/>
      <c r="D70" s="1739">
        <v>2680</v>
      </c>
      <c r="E70" s="1268">
        <v>0.3</v>
      </c>
      <c r="F70" s="1268">
        <v>0.1</v>
      </c>
      <c r="G70" s="1638">
        <f>$C70*D70*GPC!$F$84</f>
        <v>0</v>
      </c>
      <c r="H70" s="1638">
        <f>$C70*E70*GPC!$F$86</f>
        <v>0</v>
      </c>
      <c r="I70" s="1638">
        <f>$C70*F70*GPC!$F$87</f>
        <v>0</v>
      </c>
      <c r="J70" s="1639">
        <f t="shared" si="0"/>
        <v>0</v>
      </c>
      <c r="L70" s="1265" t="s">
        <v>2085</v>
      </c>
      <c r="M70" s="1084"/>
      <c r="N70" s="1739">
        <v>7900</v>
      </c>
      <c r="O70" s="1268">
        <v>1.5</v>
      </c>
      <c r="P70" s="1268">
        <v>0.2</v>
      </c>
      <c r="Q70" s="1638">
        <f>$M70*N70*GPC!$F$84</f>
        <v>0</v>
      </c>
      <c r="R70" s="1638">
        <f>$M70*O70*GPC!$F$86</f>
        <v>0</v>
      </c>
      <c r="S70" s="1638">
        <f>$M70*P70*GPC!$F$87</f>
        <v>0</v>
      </c>
      <c r="T70" s="1639">
        <f t="shared" si="1"/>
        <v>0</v>
      </c>
    </row>
    <row r="71" spans="2:20">
      <c r="B71" s="1266" t="s">
        <v>2052</v>
      </c>
      <c r="C71" s="1084"/>
      <c r="D71" s="1739">
        <v>2680</v>
      </c>
      <c r="E71" s="1268">
        <v>0.3</v>
      </c>
      <c r="F71" s="1268">
        <v>0.1</v>
      </c>
      <c r="G71" s="1638">
        <f>$C71*D71*GPC!$F$84</f>
        <v>0</v>
      </c>
      <c r="H71" s="1638">
        <f>$C71*E71*GPC!$F$86</f>
        <v>0</v>
      </c>
      <c r="I71" s="1638">
        <f>$C71*F71*GPC!$F$87</f>
        <v>0</v>
      </c>
      <c r="J71" s="1639">
        <f t="shared" si="0"/>
        <v>0</v>
      </c>
      <c r="L71" s="1265" t="s">
        <v>2086</v>
      </c>
      <c r="M71" s="1084"/>
      <c r="N71" s="1739">
        <v>7900</v>
      </c>
      <c r="O71" s="1268">
        <v>1.5</v>
      </c>
      <c r="P71" s="1268">
        <v>0.2</v>
      </c>
      <c r="Q71" s="1638">
        <f>$M71*N71*GPC!$F$84</f>
        <v>0</v>
      </c>
      <c r="R71" s="1638">
        <f>$M71*O71*GPC!$F$86</f>
        <v>0</v>
      </c>
      <c r="S71" s="1638">
        <f>$M71*P71*GPC!$F$87</f>
        <v>0</v>
      </c>
      <c r="T71" s="1639">
        <f t="shared" si="1"/>
        <v>0</v>
      </c>
    </row>
    <row r="72" spans="2:20">
      <c r="B72" s="1266" t="s">
        <v>2053</v>
      </c>
      <c r="C72" s="1084"/>
      <c r="D72" s="1739">
        <v>2680</v>
      </c>
      <c r="E72" s="1268">
        <v>0.3</v>
      </c>
      <c r="F72" s="1268">
        <v>0.1</v>
      </c>
      <c r="G72" s="1638">
        <f>$C72*D72*GPC!$F$84</f>
        <v>0</v>
      </c>
      <c r="H72" s="1638">
        <f>$C72*E72*GPC!$F$86</f>
        <v>0</v>
      </c>
      <c r="I72" s="1638">
        <f>$C72*F72*GPC!$F$87</f>
        <v>0</v>
      </c>
      <c r="J72" s="1639">
        <f t="shared" si="0"/>
        <v>0</v>
      </c>
      <c r="L72" s="1265" t="s">
        <v>2087</v>
      </c>
      <c r="M72" s="1084"/>
      <c r="N72" s="1739">
        <v>7900</v>
      </c>
      <c r="O72" s="1268">
        <v>1.5</v>
      </c>
      <c r="P72" s="1268">
        <v>0.2</v>
      </c>
      <c r="Q72" s="1638">
        <f>$M72*N72*GPC!$F$84</f>
        <v>0</v>
      </c>
      <c r="R72" s="1638">
        <f>$M72*O72*GPC!$F$86</f>
        <v>0</v>
      </c>
      <c r="S72" s="1638">
        <f>$M72*P72*GPC!$F$87</f>
        <v>0</v>
      </c>
      <c r="T72" s="1639">
        <f t="shared" si="1"/>
        <v>0</v>
      </c>
    </row>
    <row r="73" spans="2:20">
      <c r="B73" s="1266" t="s">
        <v>2054</v>
      </c>
      <c r="C73" s="1084"/>
      <c r="D73" s="1739">
        <v>2680</v>
      </c>
      <c r="E73" s="1268">
        <v>0.3</v>
      </c>
      <c r="F73" s="1268">
        <v>0.1</v>
      </c>
      <c r="G73" s="1638">
        <f>$C73*D73*GPC!$F$84</f>
        <v>0</v>
      </c>
      <c r="H73" s="1638">
        <f>$C73*E73*GPC!$F$86</f>
        <v>0</v>
      </c>
      <c r="I73" s="1638">
        <f>$C73*F73*GPC!$F$87</f>
        <v>0</v>
      </c>
      <c r="J73" s="1639">
        <f t="shared" si="0"/>
        <v>0</v>
      </c>
      <c r="L73" s="1265" t="s">
        <v>2040</v>
      </c>
      <c r="M73" s="1084"/>
      <c r="N73" s="1739">
        <v>7900</v>
      </c>
      <c r="O73" s="1268">
        <v>1.5</v>
      </c>
      <c r="P73" s="1268">
        <v>0.2</v>
      </c>
      <c r="Q73" s="1638">
        <f>$M73*N73*GPC!$F$84</f>
        <v>0</v>
      </c>
      <c r="R73" s="1638">
        <f>$M73*O73*GPC!$F$86</f>
        <v>0</v>
      </c>
      <c r="S73" s="1638">
        <f>$M73*P73*GPC!$F$87</f>
        <v>0</v>
      </c>
      <c r="T73" s="1639">
        <f t="shared" si="1"/>
        <v>0</v>
      </c>
    </row>
    <row r="74" spans="2:20">
      <c r="B74" s="1279" t="s">
        <v>2055</v>
      </c>
      <c r="C74" s="1279">
        <f>SUM(C10:C73)</f>
        <v>0</v>
      </c>
      <c r="D74" s="1279"/>
      <c r="E74" s="1279"/>
      <c r="F74" s="1279"/>
      <c r="G74" s="1279">
        <f>SUM(G10:G73)</f>
        <v>0</v>
      </c>
      <c r="H74" s="1279">
        <f>SUM(H10:H73)</f>
        <v>0</v>
      </c>
      <c r="I74" s="1279">
        <f>SUM(I10:I73)</f>
        <v>0</v>
      </c>
      <c r="J74" s="1640">
        <f>SUM(J10:J73)</f>
        <v>0</v>
      </c>
      <c r="L74" s="1265" t="s">
        <v>2088</v>
      </c>
      <c r="M74" s="1084"/>
      <c r="N74" s="1739">
        <v>7900</v>
      </c>
      <c r="O74" s="1268">
        <v>1.5</v>
      </c>
      <c r="P74" s="1268">
        <v>0.2</v>
      </c>
      <c r="Q74" s="1266">
        <f>$M74*N74*GPC!$F$84</f>
        <v>0</v>
      </c>
      <c r="R74" s="1266">
        <f>$M74*O74*GPC!$F$86</f>
        <v>0</v>
      </c>
      <c r="S74" s="1266">
        <f>$M74*P74*GPC!$F$87</f>
        <v>0</v>
      </c>
      <c r="T74" s="1639">
        <f t="shared" si="1"/>
        <v>0</v>
      </c>
    </row>
    <row r="75" spans="2:20">
      <c r="C75" s="1274"/>
      <c r="D75" s="1272"/>
      <c r="E75" s="1272"/>
      <c r="F75" s="1272"/>
      <c r="L75" s="1265" t="s">
        <v>2089</v>
      </c>
      <c r="M75" s="1084"/>
      <c r="N75" s="1739">
        <v>7900</v>
      </c>
      <c r="O75" s="1268">
        <v>1.5</v>
      </c>
      <c r="P75" s="1268">
        <v>0.2</v>
      </c>
      <c r="Q75" s="1266">
        <f>$M75*N75*GPC!$F$84</f>
        <v>0</v>
      </c>
      <c r="R75" s="1266">
        <f>$M75*O75*GPC!$F$86</f>
        <v>0</v>
      </c>
      <c r="S75" s="1266">
        <f>$M75*P75*GPC!$F$87</f>
        <v>0</v>
      </c>
      <c r="T75" s="1639">
        <f>SUM(Q75:S75)/1000</f>
        <v>0</v>
      </c>
    </row>
    <row r="76" spans="2:20">
      <c r="C76" s="1274"/>
      <c r="D76" s="1270"/>
      <c r="E76" s="1270"/>
      <c r="F76" s="1270"/>
      <c r="G76" s="1270"/>
      <c r="H76" s="1270"/>
      <c r="I76" s="1270"/>
      <c r="J76" s="1270"/>
      <c r="L76" s="1266" t="s">
        <v>2090</v>
      </c>
      <c r="M76" s="1084"/>
      <c r="N76" s="1739">
        <v>7900</v>
      </c>
      <c r="O76" s="1268">
        <v>1.5</v>
      </c>
      <c r="P76" s="1268">
        <v>0.2</v>
      </c>
      <c r="Q76" s="1266">
        <f>$M76*N76*GPC!$F$84</f>
        <v>0</v>
      </c>
      <c r="R76" s="1266">
        <f>$M76*O76*GPC!$F$86</f>
        <v>0</v>
      </c>
      <c r="S76" s="1266">
        <f>$M76*P76*GPC!$F$87</f>
        <v>0</v>
      </c>
      <c r="T76" s="1639">
        <f>SUM(Q76:S76)/1000</f>
        <v>0</v>
      </c>
    </row>
    <row r="77" spans="2:20">
      <c r="B77" s="1275"/>
      <c r="C77" s="1264" t="s">
        <v>2056</v>
      </c>
      <c r="D77" s="1264" t="s">
        <v>2057</v>
      </c>
      <c r="E77" s="1269"/>
      <c r="F77" s="1269"/>
      <c r="G77" s="1272"/>
      <c r="H77" s="1269"/>
      <c r="I77" s="1269"/>
      <c r="J77" s="1273"/>
      <c r="L77" s="1266" t="s">
        <v>2091</v>
      </c>
      <c r="M77" s="1084"/>
      <c r="N77" s="1739">
        <v>7900</v>
      </c>
      <c r="O77" s="1268">
        <v>1.5</v>
      </c>
      <c r="P77" s="1268">
        <v>0.2</v>
      </c>
      <c r="Q77" s="1266">
        <f>$M77*N77*GPC!$F$84</f>
        <v>0</v>
      </c>
      <c r="R77" s="1266">
        <f>$M77*O77*GPC!$F$86</f>
        <v>0</v>
      </c>
      <c r="S77" s="1266">
        <f>$M77*P77*GPC!$F$87</f>
        <v>0</v>
      </c>
      <c r="T77" s="1639">
        <f>SUM(Q77:S77)/1000</f>
        <v>0</v>
      </c>
    </row>
    <row r="78" spans="2:20">
      <c r="B78" s="1267"/>
      <c r="C78" s="1271" t="s">
        <v>2058</v>
      </c>
      <c r="D78" s="1271" t="s">
        <v>596</v>
      </c>
      <c r="L78" s="1266" t="s">
        <v>2092</v>
      </c>
      <c r="M78" s="1084"/>
      <c r="N78" s="1739">
        <v>7900</v>
      </c>
      <c r="O78" s="1268">
        <v>1.5</v>
      </c>
      <c r="P78" s="1268">
        <v>0.2</v>
      </c>
      <c r="Q78" s="1266">
        <f>$M78*N78*GPC!$F$84</f>
        <v>0</v>
      </c>
      <c r="R78" s="1266">
        <f>$M78*O78*GPC!$F$86</f>
        <v>0</v>
      </c>
      <c r="S78" s="1266">
        <f>$M78*P78*GPC!$F$87</f>
        <v>0</v>
      </c>
      <c r="T78" s="1639">
        <f>SUM(Q78:S78)/1000</f>
        <v>0</v>
      </c>
    </row>
    <row r="79" spans="2:20">
      <c r="B79" s="1276"/>
      <c r="C79" s="1264" t="s">
        <v>2059</v>
      </c>
      <c r="D79" s="1264" t="s">
        <v>606</v>
      </c>
      <c r="G79" s="1271"/>
      <c r="H79" s="1271"/>
      <c r="I79" s="1271"/>
      <c r="J79" s="1271"/>
      <c r="L79" s="1266" t="s">
        <v>2093</v>
      </c>
      <c r="M79" s="1084"/>
      <c r="N79" s="1739">
        <v>7900</v>
      </c>
      <c r="O79" s="1268">
        <v>1.5</v>
      </c>
      <c r="P79" s="1268">
        <v>0.2</v>
      </c>
      <c r="Q79" s="1266">
        <f>$M79*N79*GPC!F145</f>
        <v>0</v>
      </c>
      <c r="R79" s="1266">
        <f>$M79*O79*GPC!$F$86</f>
        <v>0</v>
      </c>
      <c r="S79" s="1266">
        <f>$M79*P79*GPC!$F$87</f>
        <v>0</v>
      </c>
      <c r="T79" s="1639">
        <f>SUM(Q79:S79)/1000</f>
        <v>0</v>
      </c>
    </row>
    <row r="80" spans="2:20">
      <c r="B80" s="1269"/>
      <c r="C80" s="1274"/>
      <c r="L80" s="1283" t="s">
        <v>2055</v>
      </c>
      <c r="M80" s="1283">
        <f>SUM(M10:M79)</f>
        <v>0</v>
      </c>
      <c r="N80" s="1283"/>
      <c r="O80" s="1283"/>
      <c r="P80" s="1283"/>
      <c r="Q80" s="1283">
        <f>SUM(Q10:Q79)</f>
        <v>0</v>
      </c>
      <c r="R80" s="1283">
        <f>SUM(R10:R79)</f>
        <v>0</v>
      </c>
      <c r="S80" s="1283">
        <f>SUM(S10:S79)</f>
        <v>0</v>
      </c>
      <c r="T80" s="1640">
        <f>SUM(T10:T79)</f>
        <v>0</v>
      </c>
    </row>
    <row r="81" spans="14:16">
      <c r="N81" s="1282"/>
      <c r="O81" s="1282"/>
      <c r="P81" s="1269"/>
    </row>
    <row r="82" spans="14:16">
      <c r="P82" s="1272"/>
    </row>
  </sheetData>
  <mergeCells count="6">
    <mergeCell ref="B8:B9"/>
    <mergeCell ref="D8:F8"/>
    <mergeCell ref="N8:P8"/>
    <mergeCell ref="Q8:S8"/>
    <mergeCell ref="L8:L9"/>
    <mergeCell ref="G8:I8"/>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3300"/>
  </sheetPr>
  <dimension ref="A1:R101"/>
  <sheetViews>
    <sheetView zoomScale="55" zoomScaleNormal="55" workbookViewId="0">
      <selection activeCell="C27" sqref="C27"/>
    </sheetView>
  </sheetViews>
  <sheetFormatPr defaultColWidth="9" defaultRowHeight="13.2"/>
  <cols>
    <col min="1" max="1" width="9" style="129"/>
    <col min="2" max="2" width="45.33203125" style="128" bestFit="1" customWidth="1"/>
    <col min="3" max="3" width="18.33203125" style="128" customWidth="1"/>
    <col min="4" max="4" width="18.88671875" style="128" customWidth="1"/>
    <col min="5" max="5" width="15.44140625" style="128" customWidth="1"/>
    <col min="6" max="6" width="10.44140625" style="128" customWidth="1"/>
    <col min="7" max="7" width="5.44140625" style="128" bestFit="1" customWidth="1"/>
    <col min="8" max="8" width="16.44140625" style="128" bestFit="1" customWidth="1"/>
    <col min="9" max="9" width="23.44140625" style="128" bestFit="1" customWidth="1"/>
    <col min="10" max="10" width="29.6640625" style="128" bestFit="1" customWidth="1"/>
    <col min="11" max="11" width="35" style="128" bestFit="1" customWidth="1"/>
    <col min="12" max="12" width="31.44140625" style="128" bestFit="1" customWidth="1"/>
    <col min="13" max="13" width="32.44140625" style="128" bestFit="1" customWidth="1"/>
    <col min="14" max="14" width="36.44140625" style="128" bestFit="1" customWidth="1"/>
    <col min="15" max="18" width="30.6640625" style="128" customWidth="1"/>
    <col min="19" max="19" width="12.33203125" style="128" bestFit="1" customWidth="1"/>
    <col min="20" max="16384" width="9" style="128"/>
  </cols>
  <sheetData>
    <row r="1" spans="1:18" s="123" customFormat="1">
      <c r="A1" s="122" t="s">
        <v>763</v>
      </c>
      <c r="B1" s="122"/>
      <c r="C1" s="122"/>
      <c r="D1" s="122"/>
      <c r="E1" s="122"/>
      <c r="F1" s="122"/>
      <c r="G1" s="122"/>
      <c r="H1" s="122"/>
      <c r="I1" s="122"/>
      <c r="J1" s="122"/>
      <c r="K1" s="122"/>
    </row>
    <row r="2" spans="1:18" s="99" customFormat="1">
      <c r="A2" s="2131" t="s">
        <v>764</v>
      </c>
      <c r="B2" s="2132"/>
      <c r="C2" s="2132"/>
      <c r="D2" s="2132"/>
      <c r="E2" s="2132"/>
      <c r="F2" s="2132"/>
      <c r="G2" s="2132"/>
      <c r="H2" s="2132"/>
      <c r="I2" s="2132"/>
      <c r="J2" s="2132"/>
      <c r="K2" s="2132"/>
      <c r="L2" s="2132"/>
      <c r="M2" s="2132"/>
      <c r="N2" s="2132"/>
      <c r="O2" s="2132"/>
      <c r="P2" s="2132"/>
      <c r="Q2" s="2132"/>
      <c r="R2" s="2132"/>
    </row>
    <row r="3" spans="1:18" s="99" customFormat="1">
      <c r="A3" s="209"/>
      <c r="B3" s="210"/>
      <c r="C3" s="210"/>
      <c r="D3" s="210"/>
      <c r="E3" s="210"/>
      <c r="F3" s="210"/>
      <c r="G3" s="210"/>
      <c r="H3" s="210"/>
      <c r="I3" s="210"/>
      <c r="J3" s="210"/>
      <c r="K3" s="210"/>
      <c r="L3" s="210"/>
      <c r="M3" s="210"/>
      <c r="N3" s="210"/>
      <c r="O3" s="210"/>
      <c r="P3" s="210"/>
      <c r="Q3" s="210"/>
      <c r="R3" s="210"/>
    </row>
    <row r="4" spans="1:18" s="99" customFormat="1">
      <c r="A4" s="120" t="s">
        <v>254</v>
      </c>
      <c r="B4" s="1413">
        <f>'City information'!$C$4</f>
        <v>0</v>
      </c>
      <c r="C4" s="120"/>
      <c r="D4" s="120"/>
      <c r="E4" s="120"/>
      <c r="F4" s="120"/>
      <c r="G4" s="120"/>
      <c r="H4" s="120"/>
      <c r="I4" s="120"/>
      <c r="J4" s="120"/>
      <c r="K4" s="120"/>
      <c r="L4" s="120"/>
      <c r="M4" s="120"/>
      <c r="N4" s="120"/>
      <c r="O4" s="120"/>
      <c r="P4" s="120"/>
      <c r="Q4" s="120"/>
      <c r="R4" s="120"/>
    </row>
    <row r="5" spans="1:18" s="99" customFormat="1">
      <c r="A5" s="120" t="s">
        <v>140</v>
      </c>
      <c r="B5" s="1413">
        <f>'City information'!$C$5</f>
        <v>2562</v>
      </c>
      <c r="C5" s="120"/>
      <c r="D5" s="120"/>
      <c r="E5" s="120"/>
      <c r="F5" s="120"/>
      <c r="G5" s="120"/>
      <c r="H5" s="120"/>
      <c r="I5" s="120"/>
      <c r="J5" s="120"/>
      <c r="K5" s="120"/>
      <c r="L5" s="120"/>
      <c r="M5" s="120"/>
      <c r="N5" s="120"/>
      <c r="O5" s="120"/>
      <c r="P5" s="120"/>
      <c r="Q5" s="120"/>
      <c r="R5" s="120"/>
    </row>
    <row r="6" spans="1:18" s="99" customFormat="1">
      <c r="F6" s="210"/>
      <c r="G6" s="210"/>
      <c r="H6" s="210"/>
      <c r="I6" s="210"/>
      <c r="J6" s="210"/>
    </row>
    <row r="7" spans="1:18" s="99" customFormat="1">
      <c r="A7" s="715" t="s">
        <v>1957</v>
      </c>
      <c r="B7" s="716"/>
      <c r="C7" s="717"/>
      <c r="D7" s="717"/>
      <c r="E7" s="718"/>
      <c r="F7" s="718"/>
      <c r="G7" s="718"/>
      <c r="H7" s="718"/>
      <c r="I7" s="718"/>
      <c r="J7" s="718"/>
      <c r="K7" s="718"/>
      <c r="L7" s="718"/>
      <c r="M7" s="718"/>
      <c r="N7" s="718"/>
      <c r="O7" s="718"/>
      <c r="P7" s="718"/>
      <c r="Q7" s="718"/>
      <c r="R7" s="718"/>
    </row>
    <row r="8" spans="1:18">
      <c r="A8" s="2129" t="s">
        <v>765</v>
      </c>
      <c r="B8" s="2130"/>
      <c r="C8" s="2130"/>
      <c r="D8" s="2130"/>
      <c r="E8" s="2130"/>
      <c r="F8" s="2130"/>
      <c r="G8" s="2130"/>
      <c r="H8" s="2130"/>
      <c r="I8" s="2130"/>
      <c r="J8" s="2130"/>
      <c r="K8" s="2130"/>
      <c r="L8" s="2130"/>
      <c r="M8" s="2130"/>
      <c r="N8" s="2130"/>
      <c r="O8" s="2130"/>
      <c r="P8" s="2130"/>
      <c r="Q8" s="2130"/>
      <c r="R8" s="2130"/>
    </row>
    <row r="9" spans="1:18">
      <c r="A9" s="209"/>
      <c r="B9" s="210"/>
      <c r="C9" s="210"/>
      <c r="D9" s="210"/>
      <c r="E9" s="210"/>
      <c r="F9" s="210"/>
      <c r="G9" s="210"/>
      <c r="H9" s="210"/>
      <c r="I9" s="210"/>
      <c r="J9" s="210"/>
      <c r="K9" s="210"/>
      <c r="L9" s="210"/>
      <c r="M9" s="210"/>
      <c r="N9" s="210"/>
      <c r="O9" s="210"/>
      <c r="P9" s="210"/>
      <c r="Q9" s="210"/>
      <c r="R9" s="210"/>
    </row>
    <row r="10" spans="1:18" ht="26.4">
      <c r="A10" s="128"/>
      <c r="B10" s="1194" t="s">
        <v>1948</v>
      </c>
      <c r="E10" s="142"/>
      <c r="G10" s="1175" t="s">
        <v>766</v>
      </c>
      <c r="H10" s="1598" t="s">
        <v>767</v>
      </c>
      <c r="I10" s="1599" t="s">
        <v>768</v>
      </c>
      <c r="J10" s="1598" t="s">
        <v>769</v>
      </c>
      <c r="K10" s="1175" t="s">
        <v>770</v>
      </c>
      <c r="L10" s="1598" t="s">
        <v>771</v>
      </c>
      <c r="M10" s="1599" t="s">
        <v>772</v>
      </c>
      <c r="N10" s="1598" t="s">
        <v>773</v>
      </c>
      <c r="O10" s="1599" t="s">
        <v>774</v>
      </c>
      <c r="P10" s="1598" t="s">
        <v>2480</v>
      </c>
      <c r="Q10" s="1598" t="s">
        <v>2481</v>
      </c>
      <c r="R10" s="1598" t="s">
        <v>2482</v>
      </c>
    </row>
    <row r="11" spans="1:18">
      <c r="B11" s="1091" t="s">
        <v>806</v>
      </c>
      <c r="C11" s="1091" t="s">
        <v>807</v>
      </c>
      <c r="D11" s="1092" t="s">
        <v>808</v>
      </c>
      <c r="E11" s="1092" t="s">
        <v>792</v>
      </c>
      <c r="G11" s="1176"/>
      <c r="H11" s="1177" t="s">
        <v>775</v>
      </c>
      <c r="I11" s="1600" t="s">
        <v>776</v>
      </c>
      <c r="J11" s="1177" t="s">
        <v>777</v>
      </c>
      <c r="K11" s="1600" t="s">
        <v>778</v>
      </c>
      <c r="L11" s="1177" t="s">
        <v>779</v>
      </c>
      <c r="M11" s="1600" t="s">
        <v>780</v>
      </c>
      <c r="N11" s="1177" t="s">
        <v>781</v>
      </c>
      <c r="O11" s="1600" t="s">
        <v>782</v>
      </c>
      <c r="P11" s="1177" t="s">
        <v>783</v>
      </c>
      <c r="Q11" s="1177" t="s">
        <v>784</v>
      </c>
      <c r="R11" s="1601" t="s">
        <v>785</v>
      </c>
    </row>
    <row r="12" spans="1:18">
      <c r="B12" s="133" t="s">
        <v>809</v>
      </c>
      <c r="C12" s="1392"/>
      <c r="D12" s="292">
        <f>EF_Waste!$C$21</f>
        <v>0.15</v>
      </c>
      <c r="E12" s="292">
        <f>EF_Waste!$H$21</f>
        <v>0.4</v>
      </c>
      <c r="G12" s="1178"/>
      <c r="H12" s="1179"/>
      <c r="I12" s="1602"/>
      <c r="J12" s="1179"/>
      <c r="K12" s="1602" t="s">
        <v>786</v>
      </c>
      <c r="L12" s="1179" t="s">
        <v>786</v>
      </c>
      <c r="M12" s="1602" t="s">
        <v>786</v>
      </c>
      <c r="N12" s="1179" t="s">
        <v>786</v>
      </c>
      <c r="O12" s="1602" t="s">
        <v>786</v>
      </c>
      <c r="P12" s="1179" t="s">
        <v>786</v>
      </c>
      <c r="Q12" s="1179" t="s">
        <v>786</v>
      </c>
      <c r="R12" s="1723">
        <f>GPC!$F$85</f>
        <v>28</v>
      </c>
    </row>
    <row r="13" spans="1:18">
      <c r="B13" s="133" t="s">
        <v>810</v>
      </c>
      <c r="C13" s="1392"/>
      <c r="D13" s="292">
        <f>EF_Waste!$C$22</f>
        <v>0.4</v>
      </c>
      <c r="E13" s="292">
        <f>EF_Waste!$H$22</f>
        <v>7.0000000000000007E-2</v>
      </c>
      <c r="G13" s="133"/>
      <c r="H13" s="735"/>
      <c r="I13" s="133"/>
      <c r="J13" s="136"/>
      <c r="K13" s="719"/>
      <c r="L13" s="1596"/>
      <c r="M13" s="133"/>
      <c r="N13" s="137"/>
      <c r="O13" s="137"/>
      <c r="P13" s="137"/>
      <c r="Q13" s="137"/>
      <c r="R13" s="137"/>
    </row>
    <row r="14" spans="1:18">
      <c r="B14" s="133" t="s">
        <v>811</v>
      </c>
      <c r="C14" s="1392"/>
      <c r="D14" s="292">
        <f>EF_Waste!$C$23</f>
        <v>0</v>
      </c>
      <c r="E14" s="292">
        <f>EF_Waste!$H$23</f>
        <v>0</v>
      </c>
      <c r="G14" s="133">
        <v>2553</v>
      </c>
      <c r="H14" s="735">
        <f>'Waste_Input DATA '!C41</f>
        <v>0</v>
      </c>
      <c r="I14" s="1199">
        <f>$C$35</f>
        <v>1</v>
      </c>
      <c r="J14" s="136">
        <f t="shared" ref="J14:J34" si="0">$C$26</f>
        <v>0</v>
      </c>
      <c r="K14" s="719">
        <f t="shared" ref="K14:K34" si="1">H14*J14*$C$27*I14</f>
        <v>0</v>
      </c>
      <c r="L14" s="1596">
        <f t="shared" ref="L14:L34" si="2">K14*$C$32</f>
        <v>0</v>
      </c>
      <c r="M14" s="133">
        <f>K14*(1-$C$32)</f>
        <v>0</v>
      </c>
      <c r="N14" s="137">
        <f>L14+(N13*$C$30)</f>
        <v>0</v>
      </c>
      <c r="O14" s="137">
        <f>M14+N13*(1-$C$30)</f>
        <v>0</v>
      </c>
      <c r="P14" s="137">
        <f t="shared" ref="P14:P34" si="3">O14*16/12*$C$33</f>
        <v>0</v>
      </c>
      <c r="Q14" s="137">
        <f t="shared" ref="Q14:Q34" si="4">P14*(1-$C$34)</f>
        <v>0</v>
      </c>
      <c r="R14" s="1642">
        <f>Q14*$R$12</f>
        <v>0</v>
      </c>
    </row>
    <row r="15" spans="1:18">
      <c r="B15" s="133" t="s">
        <v>812</v>
      </c>
      <c r="C15" s="1392"/>
      <c r="D15" s="292">
        <f>EF_Waste!$C$24</f>
        <v>0</v>
      </c>
      <c r="E15" s="292">
        <f>EF_Waste!$H$24</f>
        <v>0</v>
      </c>
      <c r="G15" s="133">
        <v>2554</v>
      </c>
      <c r="H15" s="735">
        <f>'Waste_Input DATA '!C42</f>
        <v>0</v>
      </c>
      <c r="I15" s="1199">
        <f>I14</f>
        <v>1</v>
      </c>
      <c r="J15" s="136">
        <f t="shared" si="0"/>
        <v>0</v>
      </c>
      <c r="K15" s="719">
        <f t="shared" si="1"/>
        <v>0</v>
      </c>
      <c r="L15" s="1596">
        <f>K15*$C$32</f>
        <v>0</v>
      </c>
      <c r="M15" s="133">
        <f>K15*(1-$C$32)</f>
        <v>0</v>
      </c>
      <c r="N15" s="137">
        <f t="shared" ref="N15:N34" si="5">L15+(N14*$C$30)</f>
        <v>0</v>
      </c>
      <c r="O15" s="137">
        <f>M15+N14*(1-$C$30)</f>
        <v>0</v>
      </c>
      <c r="P15" s="137">
        <f t="shared" si="3"/>
        <v>0</v>
      </c>
      <c r="Q15" s="137">
        <f t="shared" si="4"/>
        <v>0</v>
      </c>
      <c r="R15" s="1642">
        <f t="shared" ref="R15:R34" si="6">Q15*$R$12</f>
        <v>0</v>
      </c>
    </row>
    <row r="16" spans="1:18">
      <c r="B16" s="133" t="s">
        <v>813</v>
      </c>
      <c r="C16" s="1392"/>
      <c r="D16" s="292">
        <f>EF_Waste!$C$25</f>
        <v>0</v>
      </c>
      <c r="E16" s="292">
        <f>EF_Waste!$H$25</f>
        <v>0</v>
      </c>
      <c r="G16" s="133">
        <v>2555</v>
      </c>
      <c r="H16" s="735">
        <f>'Waste_Input DATA '!C43</f>
        <v>0</v>
      </c>
      <c r="I16" s="1199">
        <f t="shared" ref="I16:I34" si="7">I15</f>
        <v>1</v>
      </c>
      <c r="J16" s="136">
        <f t="shared" si="0"/>
        <v>0</v>
      </c>
      <c r="K16" s="719">
        <f t="shared" si="1"/>
        <v>0</v>
      </c>
      <c r="L16" s="1596">
        <f t="shared" si="2"/>
        <v>0</v>
      </c>
      <c r="M16" s="133">
        <f>K16*(1-$C$32)</f>
        <v>0</v>
      </c>
      <c r="N16" s="137">
        <f t="shared" si="5"/>
        <v>0</v>
      </c>
      <c r="O16" s="137">
        <f t="shared" ref="O16:O34" si="8">M16+N15*(1-$C$30)</f>
        <v>0</v>
      </c>
      <c r="P16" s="137">
        <f>O16*16/12*$C$33</f>
        <v>0</v>
      </c>
      <c r="Q16" s="137">
        <f t="shared" si="4"/>
        <v>0</v>
      </c>
      <c r="R16" s="1642">
        <f t="shared" si="6"/>
        <v>0</v>
      </c>
    </row>
    <row r="17" spans="2:18">
      <c r="B17" s="133" t="s">
        <v>814</v>
      </c>
      <c r="C17" s="1392"/>
      <c r="D17" s="292">
        <f>EF_Waste!$C$26</f>
        <v>0</v>
      </c>
      <c r="E17" s="292">
        <f>EF_Waste!$H$26</f>
        <v>0</v>
      </c>
      <c r="G17" s="133">
        <v>2556</v>
      </c>
      <c r="H17" s="735">
        <f>'Waste_Input DATA '!C44</f>
        <v>0</v>
      </c>
      <c r="I17" s="1199">
        <f t="shared" si="7"/>
        <v>1</v>
      </c>
      <c r="J17" s="136">
        <f t="shared" si="0"/>
        <v>0</v>
      </c>
      <c r="K17" s="719">
        <f t="shared" si="1"/>
        <v>0</v>
      </c>
      <c r="L17" s="1596">
        <f>K17*$C$32</f>
        <v>0</v>
      </c>
      <c r="M17" s="1595">
        <f t="shared" ref="M17:M34" si="9">K17*(1-$C$32)</f>
        <v>0</v>
      </c>
      <c r="N17" s="137">
        <f t="shared" si="5"/>
        <v>0</v>
      </c>
      <c r="O17" s="137">
        <f t="shared" si="8"/>
        <v>0</v>
      </c>
      <c r="P17" s="137">
        <f t="shared" si="3"/>
        <v>0</v>
      </c>
      <c r="Q17" s="137">
        <f t="shared" si="4"/>
        <v>0</v>
      </c>
      <c r="R17" s="1642">
        <f t="shared" si="6"/>
        <v>0</v>
      </c>
    </row>
    <row r="18" spans="2:18">
      <c r="B18" s="133" t="s">
        <v>815</v>
      </c>
      <c r="C18" s="1392"/>
      <c r="D18" s="292">
        <f>EF_Waste!$C$28</f>
        <v>0.24</v>
      </c>
      <c r="E18" s="292">
        <f>EF_Waste!$H$27</f>
        <v>7.0000000000000007E-2</v>
      </c>
      <c r="G18" s="133">
        <v>2557</v>
      </c>
      <c r="H18" s="735">
        <f>'Waste_Input DATA '!C45</f>
        <v>0</v>
      </c>
      <c r="I18" s="1199">
        <f t="shared" si="7"/>
        <v>1</v>
      </c>
      <c r="J18" s="136">
        <f t="shared" si="0"/>
        <v>0</v>
      </c>
      <c r="K18" s="719">
        <f t="shared" si="1"/>
        <v>0</v>
      </c>
      <c r="L18" s="1596">
        <f t="shared" si="2"/>
        <v>0</v>
      </c>
      <c r="M18" s="133">
        <f>K18*(1-$C$32)</f>
        <v>0</v>
      </c>
      <c r="N18" s="137">
        <f t="shared" si="5"/>
        <v>0</v>
      </c>
      <c r="O18" s="137">
        <f t="shared" si="8"/>
        <v>0</v>
      </c>
      <c r="P18" s="137">
        <f t="shared" si="3"/>
        <v>0</v>
      </c>
      <c r="Q18" s="137">
        <f t="shared" si="4"/>
        <v>0</v>
      </c>
      <c r="R18" s="1642">
        <f>Q18*$R$12</f>
        <v>0</v>
      </c>
    </row>
    <row r="19" spans="2:18">
      <c r="B19" s="133" t="s">
        <v>816</v>
      </c>
      <c r="C19" s="1392"/>
      <c r="D19" s="1865">
        <f>EF_Waste!$C$29</f>
        <v>0.2</v>
      </c>
      <c r="E19" s="292">
        <f>EF_Waste!$H$28</f>
        <v>0.17</v>
      </c>
      <c r="G19" s="133">
        <v>2558</v>
      </c>
      <c r="H19" s="735">
        <f>'Waste_Input DATA '!C46</f>
        <v>0</v>
      </c>
      <c r="I19" s="1199">
        <f t="shared" si="7"/>
        <v>1</v>
      </c>
      <c r="J19" s="144">
        <f t="shared" si="0"/>
        <v>0</v>
      </c>
      <c r="K19" s="735">
        <f>H19*J19*$C$27*I19</f>
        <v>0</v>
      </c>
      <c r="L19" s="1597">
        <f t="shared" si="2"/>
        <v>0</v>
      </c>
      <c r="M19" s="143">
        <f>K19*(1-$C$32)</f>
        <v>0</v>
      </c>
      <c r="N19" s="145">
        <f t="shared" si="5"/>
        <v>0</v>
      </c>
      <c r="O19" s="137">
        <f t="shared" si="8"/>
        <v>0</v>
      </c>
      <c r="P19" s="145">
        <f>O19*16/12*$C$33</f>
        <v>0</v>
      </c>
      <c r="Q19" s="145">
        <f>P19*(1-$C$34)</f>
        <v>0</v>
      </c>
      <c r="R19" s="1643">
        <f t="shared" si="6"/>
        <v>0</v>
      </c>
    </row>
    <row r="20" spans="2:18">
      <c r="B20" s="133" t="s">
        <v>817</v>
      </c>
      <c r="C20" s="1392"/>
      <c r="D20" s="292">
        <f>EF_Waste!$C$30</f>
        <v>0</v>
      </c>
      <c r="E20" s="292">
        <f>EF_Waste!$H$30</f>
        <v>0</v>
      </c>
      <c r="G20" s="133">
        <v>2559</v>
      </c>
      <c r="H20" s="735">
        <f>'Waste_Input DATA '!C47</f>
        <v>0</v>
      </c>
      <c r="I20" s="1199">
        <f t="shared" si="7"/>
        <v>1</v>
      </c>
      <c r="J20" s="136">
        <f t="shared" si="0"/>
        <v>0</v>
      </c>
      <c r="K20" s="719">
        <f t="shared" si="1"/>
        <v>0</v>
      </c>
      <c r="L20" s="1596">
        <f>K20*$C$32</f>
        <v>0</v>
      </c>
      <c r="M20" s="133">
        <f t="shared" si="9"/>
        <v>0</v>
      </c>
      <c r="N20" s="137">
        <f t="shared" si="5"/>
        <v>0</v>
      </c>
      <c r="O20" s="137">
        <f t="shared" si="8"/>
        <v>0</v>
      </c>
      <c r="P20" s="137">
        <f t="shared" si="3"/>
        <v>0</v>
      </c>
      <c r="Q20" s="137">
        <f t="shared" si="4"/>
        <v>0</v>
      </c>
      <c r="R20" s="1642">
        <f t="shared" si="6"/>
        <v>0</v>
      </c>
    </row>
    <row r="21" spans="2:18">
      <c r="B21" s="133" t="s">
        <v>266</v>
      </c>
      <c r="C21" s="1392"/>
      <c r="D21" s="292">
        <f>EF_Waste!$C$31</f>
        <v>0</v>
      </c>
      <c r="E21" s="292">
        <f>EF_Waste!$H$31</f>
        <v>0</v>
      </c>
      <c r="G21" s="133">
        <v>2560</v>
      </c>
      <c r="H21" s="735">
        <f>'Waste_Input DATA '!C48</f>
        <v>0</v>
      </c>
      <c r="I21" s="1199">
        <f t="shared" si="7"/>
        <v>1</v>
      </c>
      <c r="J21" s="136">
        <f t="shared" si="0"/>
        <v>0</v>
      </c>
      <c r="K21" s="719">
        <f t="shared" si="1"/>
        <v>0</v>
      </c>
      <c r="L21" s="719">
        <f t="shared" si="2"/>
        <v>0</v>
      </c>
      <c r="M21" s="133">
        <f>K21*(1-$C$32)</f>
        <v>0</v>
      </c>
      <c r="N21" s="137">
        <f t="shared" si="5"/>
        <v>0</v>
      </c>
      <c r="O21" s="137">
        <f t="shared" si="8"/>
        <v>0</v>
      </c>
      <c r="P21" s="137">
        <f t="shared" si="3"/>
        <v>0</v>
      </c>
      <c r="Q21" s="137">
        <f t="shared" si="4"/>
        <v>0</v>
      </c>
      <c r="R21" s="1642">
        <f t="shared" si="6"/>
        <v>0</v>
      </c>
    </row>
    <row r="22" spans="2:18">
      <c r="B22" s="146" t="s">
        <v>250</v>
      </c>
      <c r="C22" s="147">
        <f>SUM(C12:C21)</f>
        <v>0</v>
      </c>
      <c r="D22" s="147">
        <f>SUMPRODUCT(C12:C21,D12:D21)/100</f>
        <v>0</v>
      </c>
      <c r="E22" s="147">
        <f>IFERROR((((E12*C12/100)+(E13*C13/100)+(E19*C19/100)+(E18*C18/100))/(C12+C13+C19+C18)*100),0)</f>
        <v>0</v>
      </c>
      <c r="G22" s="133">
        <v>2561</v>
      </c>
      <c r="H22" s="735">
        <f>'Waste_Input DATA '!C49</f>
        <v>0</v>
      </c>
      <c r="I22" s="1199">
        <f t="shared" si="7"/>
        <v>1</v>
      </c>
      <c r="J22" s="136">
        <f t="shared" si="0"/>
        <v>0</v>
      </c>
      <c r="K22" s="719">
        <f t="shared" si="1"/>
        <v>0</v>
      </c>
      <c r="L22" s="719">
        <f t="shared" si="2"/>
        <v>0</v>
      </c>
      <c r="M22" s="133">
        <f t="shared" si="9"/>
        <v>0</v>
      </c>
      <c r="N22" s="137">
        <f t="shared" si="5"/>
        <v>0</v>
      </c>
      <c r="O22" s="137">
        <f t="shared" si="8"/>
        <v>0</v>
      </c>
      <c r="P22" s="137">
        <f t="shared" si="3"/>
        <v>0</v>
      </c>
      <c r="Q22" s="137">
        <f t="shared" si="4"/>
        <v>0</v>
      </c>
      <c r="R22" s="1642">
        <f t="shared" si="6"/>
        <v>0</v>
      </c>
    </row>
    <row r="23" spans="2:18">
      <c r="C23" s="148"/>
      <c r="D23" s="149" t="s">
        <v>818</v>
      </c>
      <c r="E23" s="149" t="s">
        <v>818</v>
      </c>
      <c r="F23" s="846"/>
      <c r="G23" s="133">
        <v>2562</v>
      </c>
      <c r="H23" s="735">
        <f>'Waste_Input DATA '!C50</f>
        <v>0</v>
      </c>
      <c r="I23" s="1199">
        <f t="shared" si="7"/>
        <v>1</v>
      </c>
      <c r="J23" s="144">
        <f t="shared" si="0"/>
        <v>0</v>
      </c>
      <c r="K23" s="735">
        <f t="shared" si="1"/>
        <v>0</v>
      </c>
      <c r="L23" s="735">
        <f t="shared" si="2"/>
        <v>0</v>
      </c>
      <c r="M23" s="143">
        <f t="shared" si="9"/>
        <v>0</v>
      </c>
      <c r="N23" s="1196">
        <f t="shared" si="5"/>
        <v>0</v>
      </c>
      <c r="O23" s="1196">
        <f t="shared" si="8"/>
        <v>0</v>
      </c>
      <c r="P23" s="1196">
        <f t="shared" si="3"/>
        <v>0</v>
      </c>
      <c r="Q23" s="1196">
        <f t="shared" si="4"/>
        <v>0</v>
      </c>
      <c r="R23" s="1644">
        <f t="shared" si="6"/>
        <v>0</v>
      </c>
    </row>
    <row r="24" spans="2:18">
      <c r="F24" s="846"/>
      <c r="G24" s="133">
        <v>2563</v>
      </c>
      <c r="H24" s="735">
        <v>0</v>
      </c>
      <c r="I24" s="1199">
        <f t="shared" si="7"/>
        <v>1</v>
      </c>
      <c r="J24" s="136">
        <f t="shared" si="0"/>
        <v>0</v>
      </c>
      <c r="K24" s="719">
        <f t="shared" si="1"/>
        <v>0</v>
      </c>
      <c r="L24" s="719">
        <f t="shared" si="2"/>
        <v>0</v>
      </c>
      <c r="M24" s="133">
        <f t="shared" si="9"/>
        <v>0</v>
      </c>
      <c r="N24" s="137">
        <f t="shared" si="5"/>
        <v>0</v>
      </c>
      <c r="O24" s="137">
        <f t="shared" si="8"/>
        <v>0</v>
      </c>
      <c r="P24" s="137">
        <f t="shared" si="3"/>
        <v>0</v>
      </c>
      <c r="Q24" s="137">
        <f t="shared" si="4"/>
        <v>0</v>
      </c>
      <c r="R24" s="1642">
        <f t="shared" si="6"/>
        <v>0</v>
      </c>
    </row>
    <row r="25" spans="2:18">
      <c r="B25" s="1195" t="s">
        <v>1949</v>
      </c>
      <c r="F25" s="846"/>
      <c r="G25" s="133">
        <v>2564</v>
      </c>
      <c r="H25" s="735">
        <v>0</v>
      </c>
      <c r="I25" s="1199">
        <f t="shared" si="7"/>
        <v>1</v>
      </c>
      <c r="J25" s="136">
        <f t="shared" si="0"/>
        <v>0</v>
      </c>
      <c r="K25" s="719">
        <f t="shared" si="1"/>
        <v>0</v>
      </c>
      <c r="L25" s="719">
        <f t="shared" si="2"/>
        <v>0</v>
      </c>
      <c r="M25" s="133">
        <f t="shared" si="9"/>
        <v>0</v>
      </c>
      <c r="N25" s="137">
        <f t="shared" si="5"/>
        <v>0</v>
      </c>
      <c r="O25" s="137">
        <f t="shared" si="8"/>
        <v>0</v>
      </c>
      <c r="P25" s="137">
        <f t="shared" si="3"/>
        <v>0</v>
      </c>
      <c r="Q25" s="137">
        <f t="shared" si="4"/>
        <v>0</v>
      </c>
      <c r="R25" s="1642">
        <f>Q25*$R$12</f>
        <v>0</v>
      </c>
    </row>
    <row r="26" spans="2:18" ht="14.4">
      <c r="B26" s="130" t="s">
        <v>1950</v>
      </c>
      <c r="C26" s="131">
        <f>D22</f>
        <v>0</v>
      </c>
      <c r="D26" s="132"/>
      <c r="E26" s="128" t="s">
        <v>788</v>
      </c>
      <c r="F26" s="846"/>
      <c r="G26" s="133">
        <v>2565</v>
      </c>
      <c r="H26" s="735">
        <v>0</v>
      </c>
      <c r="I26" s="1199">
        <f t="shared" si="7"/>
        <v>1</v>
      </c>
      <c r="J26" s="136">
        <f t="shared" si="0"/>
        <v>0</v>
      </c>
      <c r="K26" s="719">
        <f t="shared" si="1"/>
        <v>0</v>
      </c>
      <c r="L26" s="719">
        <f t="shared" si="2"/>
        <v>0</v>
      </c>
      <c r="M26" s="133">
        <f t="shared" si="9"/>
        <v>0</v>
      </c>
      <c r="N26" s="137">
        <f t="shared" si="5"/>
        <v>0</v>
      </c>
      <c r="O26" s="137">
        <f t="shared" si="8"/>
        <v>0</v>
      </c>
      <c r="P26" s="137">
        <f t="shared" si="3"/>
        <v>0</v>
      </c>
      <c r="Q26" s="137">
        <f t="shared" si="4"/>
        <v>0</v>
      </c>
      <c r="R26" s="1642">
        <f t="shared" si="6"/>
        <v>0</v>
      </c>
    </row>
    <row r="27" spans="2:18">
      <c r="B27" s="134" t="s">
        <v>789</v>
      </c>
      <c r="C27" s="1866">
        <f>EF_Waste!$B$6</f>
        <v>0.5</v>
      </c>
      <c r="D27" s="135" t="s">
        <v>790</v>
      </c>
      <c r="F27" s="846"/>
      <c r="G27" s="133">
        <v>2566</v>
      </c>
      <c r="H27" s="735">
        <v>0</v>
      </c>
      <c r="I27" s="1199">
        <f t="shared" si="7"/>
        <v>1</v>
      </c>
      <c r="J27" s="136">
        <f t="shared" si="0"/>
        <v>0</v>
      </c>
      <c r="K27" s="719">
        <f t="shared" si="1"/>
        <v>0</v>
      </c>
      <c r="L27" s="719">
        <f t="shared" si="2"/>
        <v>0</v>
      </c>
      <c r="M27" s="133">
        <f t="shared" si="9"/>
        <v>0</v>
      </c>
      <c r="N27" s="137">
        <f t="shared" si="5"/>
        <v>0</v>
      </c>
      <c r="O27" s="137">
        <f>M27+N26*(1-$C$30)</f>
        <v>0</v>
      </c>
      <c r="P27" s="137">
        <f t="shared" si="3"/>
        <v>0</v>
      </c>
      <c r="Q27" s="137">
        <f t="shared" si="4"/>
        <v>0</v>
      </c>
      <c r="R27" s="1642">
        <f t="shared" si="6"/>
        <v>0</v>
      </c>
    </row>
    <row r="28" spans="2:18">
      <c r="B28" s="134" t="s">
        <v>791</v>
      </c>
      <c r="C28" s="138">
        <f>E22</f>
        <v>0</v>
      </c>
      <c r="D28" s="135" t="s">
        <v>792</v>
      </c>
      <c r="E28" s="128" t="s">
        <v>793</v>
      </c>
      <c r="F28" s="846"/>
      <c r="G28" s="133">
        <v>2567</v>
      </c>
      <c r="H28" s="735">
        <v>0</v>
      </c>
      <c r="I28" s="1199">
        <f t="shared" si="7"/>
        <v>1</v>
      </c>
      <c r="J28" s="136">
        <f t="shared" si="0"/>
        <v>0</v>
      </c>
      <c r="K28" s="719">
        <f t="shared" si="1"/>
        <v>0</v>
      </c>
      <c r="L28" s="719">
        <f t="shared" si="2"/>
        <v>0</v>
      </c>
      <c r="M28" s="133">
        <f t="shared" si="9"/>
        <v>0</v>
      </c>
      <c r="N28" s="137">
        <f t="shared" si="5"/>
        <v>0</v>
      </c>
      <c r="O28" s="137">
        <f t="shared" si="8"/>
        <v>0</v>
      </c>
      <c r="P28" s="137">
        <f t="shared" si="3"/>
        <v>0</v>
      </c>
      <c r="Q28" s="137">
        <f t="shared" si="4"/>
        <v>0</v>
      </c>
      <c r="R28" s="1642">
        <f t="shared" si="6"/>
        <v>0</v>
      </c>
    </row>
    <row r="29" spans="2:18">
      <c r="B29" s="134" t="s">
        <v>794</v>
      </c>
      <c r="C29" s="138">
        <f>IFERROR(LN(2)/C28,0)</f>
        <v>0</v>
      </c>
      <c r="D29" s="135" t="s">
        <v>795</v>
      </c>
      <c r="F29" s="846"/>
      <c r="G29" s="133">
        <v>2568</v>
      </c>
      <c r="H29" s="735">
        <v>0</v>
      </c>
      <c r="I29" s="1199">
        <f t="shared" si="7"/>
        <v>1</v>
      </c>
      <c r="J29" s="136">
        <f t="shared" si="0"/>
        <v>0</v>
      </c>
      <c r="K29" s="719">
        <f t="shared" si="1"/>
        <v>0</v>
      </c>
      <c r="L29" s="719">
        <f t="shared" si="2"/>
        <v>0</v>
      </c>
      <c r="M29" s="133">
        <f t="shared" si="9"/>
        <v>0</v>
      </c>
      <c r="N29" s="137">
        <f t="shared" si="5"/>
        <v>0</v>
      </c>
      <c r="O29" s="137">
        <f t="shared" si="8"/>
        <v>0</v>
      </c>
      <c r="P29" s="137">
        <f t="shared" si="3"/>
        <v>0</v>
      </c>
      <c r="Q29" s="137">
        <f t="shared" si="4"/>
        <v>0</v>
      </c>
      <c r="R29" s="1642">
        <f t="shared" si="6"/>
        <v>0</v>
      </c>
    </row>
    <row r="30" spans="2:18">
      <c r="B30" s="134" t="s">
        <v>796</v>
      </c>
      <c r="C30" s="138">
        <f>EXP(-C28)</f>
        <v>1</v>
      </c>
      <c r="D30" s="135" t="s">
        <v>797</v>
      </c>
      <c r="G30" s="133">
        <v>2569</v>
      </c>
      <c r="H30" s="735">
        <v>0</v>
      </c>
      <c r="I30" s="1199">
        <f t="shared" si="7"/>
        <v>1</v>
      </c>
      <c r="J30" s="136">
        <f t="shared" si="0"/>
        <v>0</v>
      </c>
      <c r="K30" s="719">
        <f t="shared" si="1"/>
        <v>0</v>
      </c>
      <c r="L30" s="719">
        <f t="shared" si="2"/>
        <v>0</v>
      </c>
      <c r="M30" s="133">
        <f t="shared" si="9"/>
        <v>0</v>
      </c>
      <c r="N30" s="137">
        <f t="shared" si="5"/>
        <v>0</v>
      </c>
      <c r="O30" s="137">
        <f t="shared" si="8"/>
        <v>0</v>
      </c>
      <c r="P30" s="137">
        <f t="shared" si="3"/>
        <v>0</v>
      </c>
      <c r="Q30" s="137">
        <f t="shared" si="4"/>
        <v>0</v>
      </c>
      <c r="R30" s="1642">
        <f t="shared" si="6"/>
        <v>0</v>
      </c>
    </row>
    <row r="31" spans="2:18">
      <c r="B31" s="134" t="s">
        <v>798</v>
      </c>
      <c r="C31" s="134">
        <v>13</v>
      </c>
      <c r="D31" s="135" t="s">
        <v>799</v>
      </c>
      <c r="G31" s="133">
        <v>2570</v>
      </c>
      <c r="H31" s="735">
        <v>0</v>
      </c>
      <c r="I31" s="1199">
        <f t="shared" si="7"/>
        <v>1</v>
      </c>
      <c r="J31" s="136">
        <f t="shared" si="0"/>
        <v>0</v>
      </c>
      <c r="K31" s="719">
        <f t="shared" si="1"/>
        <v>0</v>
      </c>
      <c r="L31" s="719">
        <f t="shared" si="2"/>
        <v>0</v>
      </c>
      <c r="M31" s="133">
        <f t="shared" si="9"/>
        <v>0</v>
      </c>
      <c r="N31" s="137">
        <f t="shared" si="5"/>
        <v>0</v>
      </c>
      <c r="O31" s="137">
        <f t="shared" si="8"/>
        <v>0</v>
      </c>
      <c r="P31" s="137">
        <f t="shared" si="3"/>
        <v>0</v>
      </c>
      <c r="Q31" s="137">
        <f t="shared" si="4"/>
        <v>0</v>
      </c>
      <c r="R31" s="1642">
        <f t="shared" si="6"/>
        <v>0</v>
      </c>
    </row>
    <row r="32" spans="2:18">
      <c r="B32" s="134" t="s">
        <v>800</v>
      </c>
      <c r="C32" s="139">
        <f>EXP(-C28*((13-C31)/12))</f>
        <v>1</v>
      </c>
      <c r="D32" s="135" t="s">
        <v>801</v>
      </c>
      <c r="G32" s="133">
        <v>2571</v>
      </c>
      <c r="H32" s="735">
        <v>0</v>
      </c>
      <c r="I32" s="1199">
        <f t="shared" si="7"/>
        <v>1</v>
      </c>
      <c r="J32" s="136">
        <f t="shared" si="0"/>
        <v>0</v>
      </c>
      <c r="K32" s="719">
        <f t="shared" si="1"/>
        <v>0</v>
      </c>
      <c r="L32" s="719">
        <f t="shared" si="2"/>
        <v>0</v>
      </c>
      <c r="M32" s="133">
        <f t="shared" si="9"/>
        <v>0</v>
      </c>
      <c r="N32" s="137">
        <f t="shared" si="5"/>
        <v>0</v>
      </c>
      <c r="O32" s="137">
        <f t="shared" si="8"/>
        <v>0</v>
      </c>
      <c r="P32" s="137">
        <f t="shared" si="3"/>
        <v>0</v>
      </c>
      <c r="Q32" s="137">
        <f t="shared" si="4"/>
        <v>0</v>
      </c>
      <c r="R32" s="1642">
        <f t="shared" si="6"/>
        <v>0</v>
      </c>
    </row>
    <row r="33" spans="1:18" ht="14.4">
      <c r="B33" s="134" t="s">
        <v>2478</v>
      </c>
      <c r="C33" s="1192">
        <f>EF_Waste!$B$16</f>
        <v>0.5</v>
      </c>
      <c r="D33" s="135" t="s">
        <v>802</v>
      </c>
      <c r="G33" s="133">
        <v>2572</v>
      </c>
      <c r="H33" s="735">
        <v>0</v>
      </c>
      <c r="I33" s="1199">
        <f t="shared" si="7"/>
        <v>1</v>
      </c>
      <c r="J33" s="136">
        <f t="shared" si="0"/>
        <v>0</v>
      </c>
      <c r="K33" s="719">
        <f t="shared" si="1"/>
        <v>0</v>
      </c>
      <c r="L33" s="719">
        <f t="shared" si="2"/>
        <v>0</v>
      </c>
      <c r="M33" s="133">
        <f t="shared" si="9"/>
        <v>0</v>
      </c>
      <c r="N33" s="137">
        <f t="shared" si="5"/>
        <v>0</v>
      </c>
      <c r="O33" s="137">
        <f t="shared" si="8"/>
        <v>0</v>
      </c>
      <c r="P33" s="137">
        <f t="shared" si="3"/>
        <v>0</v>
      </c>
      <c r="Q33" s="137">
        <f t="shared" si="4"/>
        <v>0</v>
      </c>
      <c r="R33" s="1642">
        <f t="shared" si="6"/>
        <v>0</v>
      </c>
    </row>
    <row r="34" spans="1:18">
      <c r="B34" s="134" t="s">
        <v>803</v>
      </c>
      <c r="C34" s="1192">
        <f>EF_Waste!B14</f>
        <v>0.1</v>
      </c>
      <c r="D34" s="135" t="s">
        <v>804</v>
      </c>
      <c r="G34" s="133">
        <v>2573</v>
      </c>
      <c r="H34" s="735">
        <v>0</v>
      </c>
      <c r="I34" s="1199">
        <f t="shared" si="7"/>
        <v>1</v>
      </c>
      <c r="J34" s="136">
        <f t="shared" si="0"/>
        <v>0</v>
      </c>
      <c r="K34" s="719">
        <f t="shared" si="1"/>
        <v>0</v>
      </c>
      <c r="L34" s="719">
        <f t="shared" si="2"/>
        <v>0</v>
      </c>
      <c r="M34" s="133">
        <f t="shared" si="9"/>
        <v>0</v>
      </c>
      <c r="N34" s="137">
        <f t="shared" si="5"/>
        <v>0</v>
      </c>
      <c r="O34" s="137">
        <f t="shared" si="8"/>
        <v>0</v>
      </c>
      <c r="P34" s="137">
        <f t="shared" si="3"/>
        <v>0</v>
      </c>
      <c r="Q34" s="137">
        <f t="shared" si="4"/>
        <v>0</v>
      </c>
      <c r="R34" s="1642">
        <f t="shared" si="6"/>
        <v>0</v>
      </c>
    </row>
    <row r="35" spans="1:18">
      <c r="B35" s="140" t="s">
        <v>805</v>
      </c>
      <c r="C35" s="1193">
        <f>EF_Waste!$B$8</f>
        <v>1</v>
      </c>
      <c r="D35" s="141" t="s">
        <v>776</v>
      </c>
    </row>
    <row r="37" spans="1:18">
      <c r="A37" s="2129" t="s">
        <v>819</v>
      </c>
      <c r="B37" s="2130"/>
      <c r="C37" s="2130"/>
      <c r="D37" s="2130"/>
      <c r="E37" s="2130"/>
      <c r="F37" s="2130"/>
      <c r="G37" s="2130"/>
      <c r="H37" s="2130"/>
      <c r="I37" s="2130"/>
      <c r="J37" s="2130"/>
      <c r="K37" s="2130"/>
      <c r="L37" s="2130"/>
      <c r="M37" s="2130"/>
      <c r="N37" s="2130"/>
      <c r="O37" s="2130"/>
      <c r="P37" s="2130"/>
      <c r="Q37" s="2130"/>
      <c r="R37" s="2130"/>
    </row>
    <row r="38" spans="1:18">
      <c r="A38" s="209"/>
      <c r="B38" s="210"/>
      <c r="C38" s="210"/>
      <c r="D38" s="210"/>
      <c r="E38" s="210"/>
      <c r="F38" s="210"/>
      <c r="G38" s="210"/>
      <c r="H38" s="210"/>
      <c r="I38" s="210"/>
      <c r="J38" s="210"/>
      <c r="K38" s="210"/>
      <c r="L38" s="210"/>
      <c r="M38" s="210"/>
      <c r="N38" s="210"/>
      <c r="O38" s="210"/>
      <c r="P38" s="210"/>
      <c r="Q38" s="210"/>
      <c r="R38" s="210"/>
    </row>
    <row r="39" spans="1:18" ht="13.35" customHeight="1">
      <c r="A39" s="1088"/>
      <c r="B39" s="1195" t="s">
        <v>1948</v>
      </c>
      <c r="G39" s="1175" t="s">
        <v>766</v>
      </c>
      <c r="H39" s="1603" t="s">
        <v>767</v>
      </c>
      <c r="I39" s="1604" t="s">
        <v>768</v>
      </c>
      <c r="J39" s="1603" t="s">
        <v>769</v>
      </c>
      <c r="K39" s="1604" t="s">
        <v>770</v>
      </c>
      <c r="L39" s="1603" t="s">
        <v>771</v>
      </c>
      <c r="M39" s="1604" t="s">
        <v>772</v>
      </c>
      <c r="N39" s="1603" t="s">
        <v>773</v>
      </c>
      <c r="O39" s="1604" t="s">
        <v>774</v>
      </c>
      <c r="P39" s="1603" t="s">
        <v>2480</v>
      </c>
      <c r="Q39" s="1598" t="s">
        <v>2481</v>
      </c>
      <c r="R39" s="1598" t="s">
        <v>2482</v>
      </c>
    </row>
    <row r="40" spans="1:18">
      <c r="B40" s="146" t="s">
        <v>806</v>
      </c>
      <c r="C40" s="1091" t="s">
        <v>807</v>
      </c>
      <c r="D40" s="1092" t="s">
        <v>808</v>
      </c>
      <c r="E40" s="1092" t="s">
        <v>792</v>
      </c>
      <c r="G40" s="1176"/>
      <c r="H40" s="1177" t="s">
        <v>775</v>
      </c>
      <c r="I40" s="1600" t="s">
        <v>776</v>
      </c>
      <c r="J40" s="1177" t="s">
        <v>777</v>
      </c>
      <c r="K40" s="1600" t="s">
        <v>778</v>
      </c>
      <c r="L40" s="1177" t="s">
        <v>779</v>
      </c>
      <c r="M40" s="1600" t="s">
        <v>780</v>
      </c>
      <c r="N40" s="1177" t="s">
        <v>781</v>
      </c>
      <c r="O40" s="1600" t="s">
        <v>782</v>
      </c>
      <c r="P40" s="1177" t="s">
        <v>783</v>
      </c>
      <c r="Q40" s="1177" t="s">
        <v>784</v>
      </c>
      <c r="R40" s="1601" t="s">
        <v>785</v>
      </c>
    </row>
    <row r="41" spans="1:18">
      <c r="B41" s="133" t="s">
        <v>809</v>
      </c>
      <c r="C41" s="1392"/>
      <c r="D41" s="292">
        <f>EF_Waste!$C$21</f>
        <v>0.15</v>
      </c>
      <c r="E41" s="292">
        <f>EF_Waste!$H$21</f>
        <v>0.4</v>
      </c>
      <c r="G41" s="1178"/>
      <c r="H41" s="1179"/>
      <c r="I41" s="1602"/>
      <c r="J41" s="1179"/>
      <c r="K41" s="1602" t="s">
        <v>786</v>
      </c>
      <c r="L41" s="1602" t="s">
        <v>786</v>
      </c>
      <c r="M41" s="1602" t="s">
        <v>786</v>
      </c>
      <c r="N41" s="1179" t="s">
        <v>786</v>
      </c>
      <c r="O41" s="1602" t="s">
        <v>786</v>
      </c>
      <c r="P41" s="1179" t="s">
        <v>786</v>
      </c>
      <c r="Q41" s="1179" t="s">
        <v>786</v>
      </c>
      <c r="R41" s="1723">
        <f>GPC!$F$85</f>
        <v>28</v>
      </c>
    </row>
    <row r="42" spans="1:18">
      <c r="B42" s="133" t="s">
        <v>810</v>
      </c>
      <c r="C42" s="1392"/>
      <c r="D42" s="292">
        <f>EF_Waste!$C$22</f>
        <v>0.4</v>
      </c>
      <c r="E42" s="292">
        <f>EF_Waste!$H$22</f>
        <v>7.0000000000000007E-2</v>
      </c>
      <c r="G42" s="133"/>
      <c r="H42" s="735"/>
      <c r="I42" s="1199"/>
      <c r="J42" s="136"/>
      <c r="K42" s="719"/>
      <c r="L42" s="719"/>
      <c r="M42" s="133"/>
      <c r="N42" s="137"/>
      <c r="O42" s="137"/>
      <c r="P42" s="137"/>
      <c r="Q42" s="137"/>
      <c r="R42" s="137"/>
    </row>
    <row r="43" spans="1:18">
      <c r="B43" s="133" t="s">
        <v>811</v>
      </c>
      <c r="C43" s="1392"/>
      <c r="D43" s="292">
        <f>EF_Waste!$C$23</f>
        <v>0</v>
      </c>
      <c r="E43" s="292">
        <f>EF_Waste!$H$23</f>
        <v>0</v>
      </c>
      <c r="G43" s="133">
        <v>2553</v>
      </c>
      <c r="H43" s="735">
        <f>'Waste_Input DATA '!H11</f>
        <v>0</v>
      </c>
      <c r="I43" s="1199">
        <f>$C$64</f>
        <v>0.8</v>
      </c>
      <c r="J43" s="136">
        <f>$C$55</f>
        <v>0</v>
      </c>
      <c r="K43" s="719">
        <f>H43*J43*$C$56*I43</f>
        <v>0</v>
      </c>
      <c r="L43" s="719">
        <f>K43*$C$61</f>
        <v>0</v>
      </c>
      <c r="M43" s="133">
        <f>K43*(1-$C$61)</f>
        <v>0</v>
      </c>
      <c r="N43" s="1196">
        <f t="shared" ref="N43:N50" si="10">L43+(N42*$C$59)</f>
        <v>0</v>
      </c>
      <c r="O43" s="1196">
        <f>M43+N42*(1-$C$59)</f>
        <v>0</v>
      </c>
      <c r="P43" s="137">
        <f>O43*16/12*$C$62</f>
        <v>0</v>
      </c>
      <c r="Q43" s="137">
        <f>P43*(1-$C$63)</f>
        <v>0</v>
      </c>
      <c r="R43" s="1642">
        <f>Q43*$R$41</f>
        <v>0</v>
      </c>
    </row>
    <row r="44" spans="1:18">
      <c r="B44" s="133" t="s">
        <v>812</v>
      </c>
      <c r="C44" s="1392"/>
      <c r="D44" s="292">
        <f>EF_Waste!$C$24</f>
        <v>0</v>
      </c>
      <c r="E44" s="292">
        <f>EF_Waste!$H$24</f>
        <v>0</v>
      </c>
      <c r="G44" s="133">
        <v>2554</v>
      </c>
      <c r="H44" s="735">
        <f>'Waste_Input DATA '!H12</f>
        <v>0</v>
      </c>
      <c r="I44" s="1199">
        <f t="shared" ref="I44:I63" si="11">I43</f>
        <v>0.8</v>
      </c>
      <c r="J44" s="136">
        <f t="shared" ref="J44:J63" si="12">$C$55</f>
        <v>0</v>
      </c>
      <c r="K44" s="719">
        <f t="shared" ref="K44:K63" si="13">H44*J44*$C$56*I44</f>
        <v>0</v>
      </c>
      <c r="L44" s="719">
        <f t="shared" ref="L44:L50" si="14">K44*$C$61</f>
        <v>0</v>
      </c>
      <c r="M44" s="133">
        <f t="shared" ref="M44:M50" si="15">K44*(1-$C$61)</f>
        <v>0</v>
      </c>
      <c r="N44" s="1196">
        <f t="shared" si="10"/>
        <v>0</v>
      </c>
      <c r="O44" s="1196">
        <f>M44+N43*(1-$C$59)</f>
        <v>0</v>
      </c>
      <c r="P44" s="137">
        <f t="shared" ref="P44:P50" si="16">O44*16/12*$C$62</f>
        <v>0</v>
      </c>
      <c r="Q44" s="137">
        <f t="shared" ref="Q44:Q50" si="17">P44*(1-$C$63)</f>
        <v>0</v>
      </c>
      <c r="R44" s="1642">
        <f t="shared" ref="R44:R63" si="18">Q44*$R$41</f>
        <v>0</v>
      </c>
    </row>
    <row r="45" spans="1:18">
      <c r="B45" s="133" t="s">
        <v>813</v>
      </c>
      <c r="C45" s="1392"/>
      <c r="D45" s="292">
        <f>EF_Waste!$C$25</f>
        <v>0</v>
      </c>
      <c r="E45" s="292">
        <f>EF_Waste!$H$25</f>
        <v>0</v>
      </c>
      <c r="G45" s="133">
        <v>2555</v>
      </c>
      <c r="H45" s="735">
        <f>'Waste_Input DATA '!H13</f>
        <v>0</v>
      </c>
      <c r="I45" s="1199">
        <f t="shared" si="11"/>
        <v>0.8</v>
      </c>
      <c r="J45" s="136">
        <f t="shared" si="12"/>
        <v>0</v>
      </c>
      <c r="K45" s="719">
        <f>H45*J45*$C$56*I45</f>
        <v>0</v>
      </c>
      <c r="L45" s="719">
        <f t="shared" si="14"/>
        <v>0</v>
      </c>
      <c r="M45" s="133">
        <f>K45*(1-$C$61)</f>
        <v>0</v>
      </c>
      <c r="N45" s="1196">
        <f t="shared" si="10"/>
        <v>0</v>
      </c>
      <c r="O45" s="1196">
        <f t="shared" ref="O45:O62" si="19">M45+N44*(1-$C$59)</f>
        <v>0</v>
      </c>
      <c r="P45" s="137">
        <f t="shared" si="16"/>
        <v>0</v>
      </c>
      <c r="Q45" s="137">
        <f t="shared" si="17"/>
        <v>0</v>
      </c>
      <c r="R45" s="1642">
        <f t="shared" si="18"/>
        <v>0</v>
      </c>
    </row>
    <row r="46" spans="1:18">
      <c r="B46" s="133" t="s">
        <v>814</v>
      </c>
      <c r="C46" s="1392"/>
      <c r="D46" s="292">
        <f>EF_Waste!$C$26</f>
        <v>0</v>
      </c>
      <c r="E46" s="292">
        <f>EF_Waste!$H$26</f>
        <v>0</v>
      </c>
      <c r="G46" s="133">
        <v>2556</v>
      </c>
      <c r="H46" s="735">
        <f>'Waste_Input DATA '!H14</f>
        <v>0</v>
      </c>
      <c r="I46" s="1199">
        <f t="shared" si="11"/>
        <v>0.8</v>
      </c>
      <c r="J46" s="136">
        <f t="shared" si="12"/>
        <v>0</v>
      </c>
      <c r="K46" s="719">
        <f t="shared" si="13"/>
        <v>0</v>
      </c>
      <c r="L46" s="719">
        <f t="shared" si="14"/>
        <v>0</v>
      </c>
      <c r="M46" s="133">
        <f t="shared" si="15"/>
        <v>0</v>
      </c>
      <c r="N46" s="1196">
        <f>L46+(N45*$C$59)</f>
        <v>0</v>
      </c>
      <c r="O46" s="1196">
        <f t="shared" si="19"/>
        <v>0</v>
      </c>
      <c r="P46" s="137">
        <f t="shared" si="16"/>
        <v>0</v>
      </c>
      <c r="Q46" s="137">
        <f t="shared" si="17"/>
        <v>0</v>
      </c>
      <c r="R46" s="1642">
        <f t="shared" si="18"/>
        <v>0</v>
      </c>
    </row>
    <row r="47" spans="1:18">
      <c r="B47" s="133" t="s">
        <v>815</v>
      </c>
      <c r="C47" s="1392"/>
      <c r="D47" s="292">
        <f>EF_Waste!$C$28</f>
        <v>0.24</v>
      </c>
      <c r="E47" s="292">
        <f>EF_Waste!$H$27</f>
        <v>7.0000000000000007E-2</v>
      </c>
      <c r="G47" s="133">
        <v>2557</v>
      </c>
      <c r="H47" s="735">
        <f>'Waste_Input DATA '!H15</f>
        <v>0</v>
      </c>
      <c r="I47" s="1199">
        <f t="shared" si="11"/>
        <v>0.8</v>
      </c>
      <c r="J47" s="136">
        <f t="shared" si="12"/>
        <v>0</v>
      </c>
      <c r="K47" s="719">
        <f t="shared" si="13"/>
        <v>0</v>
      </c>
      <c r="L47" s="719">
        <f t="shared" si="14"/>
        <v>0</v>
      </c>
      <c r="M47" s="133">
        <f t="shared" si="15"/>
        <v>0</v>
      </c>
      <c r="N47" s="1196">
        <f t="shared" si="10"/>
        <v>0</v>
      </c>
      <c r="O47" s="1196">
        <f t="shared" si="19"/>
        <v>0</v>
      </c>
      <c r="P47" s="137">
        <f t="shared" si="16"/>
        <v>0</v>
      </c>
      <c r="Q47" s="137">
        <f t="shared" si="17"/>
        <v>0</v>
      </c>
      <c r="R47" s="1642">
        <f t="shared" si="18"/>
        <v>0</v>
      </c>
    </row>
    <row r="48" spans="1:18">
      <c r="B48" s="133" t="s">
        <v>816</v>
      </c>
      <c r="C48" s="1392"/>
      <c r="D48" s="292">
        <f>EF_Waste!$C$29</f>
        <v>0.2</v>
      </c>
      <c r="E48" s="292">
        <f>EF_Waste!$H$28</f>
        <v>0.17</v>
      </c>
      <c r="G48" s="133">
        <v>2558</v>
      </c>
      <c r="H48" s="735">
        <f>'Waste_Input DATA '!H16</f>
        <v>0</v>
      </c>
      <c r="I48" s="699">
        <f t="shared" si="11"/>
        <v>0.8</v>
      </c>
      <c r="J48" s="136">
        <f t="shared" si="12"/>
        <v>0</v>
      </c>
      <c r="K48" s="735">
        <f>H48*J48*$C$56*I48</f>
        <v>0</v>
      </c>
      <c r="L48" s="735">
        <f t="shared" si="14"/>
        <v>0</v>
      </c>
      <c r="M48" s="133">
        <f t="shared" si="15"/>
        <v>0</v>
      </c>
      <c r="N48" s="1196">
        <f t="shared" si="10"/>
        <v>0</v>
      </c>
      <c r="O48" s="1196">
        <f t="shared" si="19"/>
        <v>0</v>
      </c>
      <c r="P48" s="137">
        <f t="shared" si="16"/>
        <v>0</v>
      </c>
      <c r="Q48" s="137">
        <f t="shared" si="17"/>
        <v>0</v>
      </c>
      <c r="R48" s="1642">
        <f t="shared" si="18"/>
        <v>0</v>
      </c>
    </row>
    <row r="49" spans="2:18">
      <c r="B49" s="133" t="s">
        <v>817</v>
      </c>
      <c r="C49" s="1392"/>
      <c r="D49" s="292">
        <f>EF_Waste!$C$30</f>
        <v>0</v>
      </c>
      <c r="E49" s="292">
        <f>EF_Waste!$H$30</f>
        <v>0</v>
      </c>
      <c r="G49" s="133">
        <v>2559</v>
      </c>
      <c r="H49" s="735">
        <f>'Waste_Input DATA '!H17</f>
        <v>0</v>
      </c>
      <c r="I49" s="1199">
        <f t="shared" si="11"/>
        <v>0.8</v>
      </c>
      <c r="J49" s="136">
        <f t="shared" si="12"/>
        <v>0</v>
      </c>
      <c r="K49" s="719">
        <f t="shared" si="13"/>
        <v>0</v>
      </c>
      <c r="L49" s="719">
        <f t="shared" si="14"/>
        <v>0</v>
      </c>
      <c r="M49" s="133">
        <f t="shared" si="15"/>
        <v>0</v>
      </c>
      <c r="N49" s="1196">
        <f t="shared" si="10"/>
        <v>0</v>
      </c>
      <c r="O49" s="1196">
        <f t="shared" si="19"/>
        <v>0</v>
      </c>
      <c r="P49" s="137">
        <f t="shared" si="16"/>
        <v>0</v>
      </c>
      <c r="Q49" s="137">
        <f t="shared" si="17"/>
        <v>0</v>
      </c>
      <c r="R49" s="1642">
        <f t="shared" si="18"/>
        <v>0</v>
      </c>
    </row>
    <row r="50" spans="2:18">
      <c r="B50" s="133" t="s">
        <v>266</v>
      </c>
      <c r="C50" s="1392"/>
      <c r="D50" s="292">
        <f>EF_Waste!$C$31</f>
        <v>0</v>
      </c>
      <c r="E50" s="292">
        <f>EF_Waste!$H$31</f>
        <v>0</v>
      </c>
      <c r="G50" s="133">
        <v>2560</v>
      </c>
      <c r="H50" s="735">
        <f>'Waste_Input DATA '!H18</f>
        <v>0</v>
      </c>
      <c r="I50" s="1199">
        <f t="shared" si="11"/>
        <v>0.8</v>
      </c>
      <c r="J50" s="136">
        <f t="shared" si="12"/>
        <v>0</v>
      </c>
      <c r="K50" s="719">
        <f t="shared" si="13"/>
        <v>0</v>
      </c>
      <c r="L50" s="719">
        <f t="shared" si="14"/>
        <v>0</v>
      </c>
      <c r="M50" s="133">
        <f t="shared" si="15"/>
        <v>0</v>
      </c>
      <c r="N50" s="1196">
        <f t="shared" si="10"/>
        <v>0</v>
      </c>
      <c r="O50" s="1196">
        <f t="shared" si="19"/>
        <v>0</v>
      </c>
      <c r="P50" s="137">
        <f t="shared" si="16"/>
        <v>0</v>
      </c>
      <c r="Q50" s="137">
        <f t="shared" si="17"/>
        <v>0</v>
      </c>
      <c r="R50" s="1642">
        <f t="shared" si="18"/>
        <v>0</v>
      </c>
    </row>
    <row r="51" spans="2:18">
      <c r="B51" s="146" t="s">
        <v>250</v>
      </c>
      <c r="C51" s="147">
        <f>SUM(C41:C50)</f>
        <v>0</v>
      </c>
      <c r="D51" s="147">
        <f>SUMPRODUCT(C41:C50,D41:D50)/100</f>
        <v>0</v>
      </c>
      <c r="E51" s="147">
        <f>IFERROR((((E41*C41/100)+(E42*C42/100)+(E48*C48/100)+(E47*C47/100))/(C41+C42+C48+C47)*100),0)</f>
        <v>0</v>
      </c>
      <c r="G51" s="133">
        <v>2561</v>
      </c>
      <c r="H51" s="735">
        <f>'Waste_Input DATA '!H19</f>
        <v>0</v>
      </c>
      <c r="I51" s="1199">
        <f t="shared" si="11"/>
        <v>0.8</v>
      </c>
      <c r="J51" s="136">
        <f t="shared" si="12"/>
        <v>0</v>
      </c>
      <c r="K51" s="719">
        <f t="shared" si="13"/>
        <v>0</v>
      </c>
      <c r="L51" s="719">
        <f t="shared" ref="L51:L63" si="20">K51*$C$32</f>
        <v>0</v>
      </c>
      <c r="M51" s="133">
        <f t="shared" ref="M51:M63" si="21">K51*(1-$C$32)</f>
        <v>0</v>
      </c>
      <c r="N51" s="1196">
        <f t="shared" ref="N51:N63" si="22">L51+(N50*$C$30)</f>
        <v>0</v>
      </c>
      <c r="O51" s="1196">
        <f t="shared" si="19"/>
        <v>0</v>
      </c>
      <c r="P51" s="137">
        <f t="shared" ref="P51:P63" si="23">O51*16/12*$C$33</f>
        <v>0</v>
      </c>
      <c r="Q51" s="137">
        <f t="shared" ref="Q51:Q63" si="24">P51*(1-$C$34)</f>
        <v>0</v>
      </c>
      <c r="R51" s="1642">
        <f t="shared" si="18"/>
        <v>0</v>
      </c>
    </row>
    <row r="52" spans="2:18">
      <c r="C52" s="148"/>
      <c r="D52" s="149" t="s">
        <v>818</v>
      </c>
      <c r="E52" s="149" t="s">
        <v>818</v>
      </c>
      <c r="G52" s="133">
        <v>2562</v>
      </c>
      <c r="H52" s="735">
        <f>'Waste_Input DATA '!H20</f>
        <v>0</v>
      </c>
      <c r="I52" s="699">
        <f t="shared" si="11"/>
        <v>0.8</v>
      </c>
      <c r="J52" s="144">
        <f t="shared" si="12"/>
        <v>0</v>
      </c>
      <c r="K52" s="735">
        <f t="shared" si="13"/>
        <v>0</v>
      </c>
      <c r="L52" s="735">
        <f t="shared" si="20"/>
        <v>0</v>
      </c>
      <c r="M52" s="143">
        <f t="shared" si="21"/>
        <v>0</v>
      </c>
      <c r="N52" s="1196">
        <f t="shared" si="22"/>
        <v>0</v>
      </c>
      <c r="O52" s="1196">
        <f t="shared" si="19"/>
        <v>0</v>
      </c>
      <c r="P52" s="1196">
        <f t="shared" si="23"/>
        <v>0</v>
      </c>
      <c r="Q52" s="1196">
        <f t="shared" si="24"/>
        <v>0</v>
      </c>
      <c r="R52" s="1642">
        <f t="shared" si="18"/>
        <v>0</v>
      </c>
    </row>
    <row r="53" spans="2:18">
      <c r="G53" s="133">
        <v>2563</v>
      </c>
      <c r="H53" s="735">
        <v>0</v>
      </c>
      <c r="I53" s="1199">
        <f t="shared" si="11"/>
        <v>0.8</v>
      </c>
      <c r="J53" s="136">
        <f t="shared" si="12"/>
        <v>0</v>
      </c>
      <c r="K53" s="719">
        <f t="shared" si="13"/>
        <v>0</v>
      </c>
      <c r="L53" s="719">
        <f t="shared" si="20"/>
        <v>0</v>
      </c>
      <c r="M53" s="133">
        <f t="shared" si="21"/>
        <v>0</v>
      </c>
      <c r="N53" s="1196">
        <f t="shared" si="22"/>
        <v>0</v>
      </c>
      <c r="O53" s="1196">
        <f t="shared" si="19"/>
        <v>0</v>
      </c>
      <c r="P53" s="137">
        <f t="shared" si="23"/>
        <v>0</v>
      </c>
      <c r="Q53" s="137">
        <f t="shared" si="24"/>
        <v>0</v>
      </c>
      <c r="R53" s="1642">
        <f t="shared" si="18"/>
        <v>0</v>
      </c>
    </row>
    <row r="54" spans="2:18">
      <c r="B54" s="1195" t="s">
        <v>1949</v>
      </c>
      <c r="G54" s="133">
        <v>2564</v>
      </c>
      <c r="H54" s="735">
        <v>0</v>
      </c>
      <c r="I54" s="1199">
        <f t="shared" si="11"/>
        <v>0.8</v>
      </c>
      <c r="J54" s="136">
        <f t="shared" si="12"/>
        <v>0</v>
      </c>
      <c r="K54" s="719">
        <f t="shared" si="13"/>
        <v>0</v>
      </c>
      <c r="L54" s="719">
        <f t="shared" si="20"/>
        <v>0</v>
      </c>
      <c r="M54" s="133">
        <f t="shared" si="21"/>
        <v>0</v>
      </c>
      <c r="N54" s="1196">
        <f t="shared" si="22"/>
        <v>0</v>
      </c>
      <c r="O54" s="1196">
        <f t="shared" si="19"/>
        <v>0</v>
      </c>
      <c r="P54" s="137">
        <f t="shared" si="23"/>
        <v>0</v>
      </c>
      <c r="Q54" s="137">
        <f t="shared" si="24"/>
        <v>0</v>
      </c>
      <c r="R54" s="1642">
        <f t="shared" si="18"/>
        <v>0</v>
      </c>
    </row>
    <row r="55" spans="2:18">
      <c r="B55" s="130" t="s">
        <v>787</v>
      </c>
      <c r="C55" s="131">
        <f>D51</f>
        <v>0</v>
      </c>
      <c r="D55" s="132"/>
      <c r="E55" s="128" t="s">
        <v>788</v>
      </c>
      <c r="G55" s="133">
        <v>2565</v>
      </c>
      <c r="H55" s="735">
        <v>0</v>
      </c>
      <c r="I55" s="1199">
        <f t="shared" si="11"/>
        <v>0.8</v>
      </c>
      <c r="J55" s="136">
        <f t="shared" si="12"/>
        <v>0</v>
      </c>
      <c r="K55" s="719">
        <f t="shared" si="13"/>
        <v>0</v>
      </c>
      <c r="L55" s="719">
        <f t="shared" si="20"/>
        <v>0</v>
      </c>
      <c r="M55" s="133">
        <f t="shared" si="21"/>
        <v>0</v>
      </c>
      <c r="N55" s="1196">
        <f t="shared" si="22"/>
        <v>0</v>
      </c>
      <c r="O55" s="1196">
        <f t="shared" si="19"/>
        <v>0</v>
      </c>
      <c r="P55" s="137">
        <f t="shared" si="23"/>
        <v>0</v>
      </c>
      <c r="Q55" s="137">
        <f t="shared" si="24"/>
        <v>0</v>
      </c>
      <c r="R55" s="1642">
        <f t="shared" si="18"/>
        <v>0</v>
      </c>
    </row>
    <row r="56" spans="2:18">
      <c r="B56" s="134" t="s">
        <v>789</v>
      </c>
      <c r="C56" s="1192">
        <f>EF_Waste!$B$6</f>
        <v>0.5</v>
      </c>
      <c r="D56" s="135" t="s">
        <v>790</v>
      </c>
      <c r="G56" s="133">
        <v>2566</v>
      </c>
      <c r="H56" s="735">
        <v>0</v>
      </c>
      <c r="I56" s="1199">
        <f t="shared" si="11"/>
        <v>0.8</v>
      </c>
      <c r="J56" s="136">
        <f t="shared" si="12"/>
        <v>0</v>
      </c>
      <c r="K56" s="719">
        <f t="shared" si="13"/>
        <v>0</v>
      </c>
      <c r="L56" s="719">
        <f t="shared" si="20"/>
        <v>0</v>
      </c>
      <c r="M56" s="133">
        <f t="shared" si="21"/>
        <v>0</v>
      </c>
      <c r="N56" s="1196">
        <f t="shared" si="22"/>
        <v>0</v>
      </c>
      <c r="O56" s="1196">
        <f t="shared" si="19"/>
        <v>0</v>
      </c>
      <c r="P56" s="137">
        <f t="shared" si="23"/>
        <v>0</v>
      </c>
      <c r="Q56" s="137">
        <f t="shared" si="24"/>
        <v>0</v>
      </c>
      <c r="R56" s="1642">
        <f t="shared" si="18"/>
        <v>0</v>
      </c>
    </row>
    <row r="57" spans="2:18">
      <c r="B57" s="134" t="s">
        <v>791</v>
      </c>
      <c r="C57" s="138">
        <f>E51</f>
        <v>0</v>
      </c>
      <c r="D57" s="135" t="s">
        <v>792</v>
      </c>
      <c r="E57" s="128" t="s">
        <v>793</v>
      </c>
      <c r="G57" s="133">
        <v>2567</v>
      </c>
      <c r="H57" s="735">
        <v>0</v>
      </c>
      <c r="I57" s="1199">
        <f t="shared" si="11"/>
        <v>0.8</v>
      </c>
      <c r="J57" s="136">
        <f t="shared" si="12"/>
        <v>0</v>
      </c>
      <c r="K57" s="719">
        <f t="shared" si="13"/>
        <v>0</v>
      </c>
      <c r="L57" s="719">
        <f t="shared" si="20"/>
        <v>0</v>
      </c>
      <c r="M57" s="133">
        <f t="shared" si="21"/>
        <v>0</v>
      </c>
      <c r="N57" s="1196">
        <f t="shared" si="22"/>
        <v>0</v>
      </c>
      <c r="O57" s="1196">
        <f t="shared" si="19"/>
        <v>0</v>
      </c>
      <c r="P57" s="137">
        <f t="shared" si="23"/>
        <v>0</v>
      </c>
      <c r="Q57" s="137">
        <f t="shared" si="24"/>
        <v>0</v>
      </c>
      <c r="R57" s="1642">
        <f t="shared" si="18"/>
        <v>0</v>
      </c>
    </row>
    <row r="58" spans="2:18">
      <c r="B58" s="134" t="s">
        <v>794</v>
      </c>
      <c r="C58" s="138">
        <f>IFERROR(LN(2)/C57,0)</f>
        <v>0</v>
      </c>
      <c r="D58" s="135" t="s">
        <v>795</v>
      </c>
      <c r="G58" s="133">
        <v>2568</v>
      </c>
      <c r="H58" s="735">
        <v>0</v>
      </c>
      <c r="I58" s="1199">
        <f t="shared" si="11"/>
        <v>0.8</v>
      </c>
      <c r="J58" s="136">
        <f t="shared" si="12"/>
        <v>0</v>
      </c>
      <c r="K58" s="719">
        <f t="shared" si="13"/>
        <v>0</v>
      </c>
      <c r="L58" s="719">
        <f t="shared" si="20"/>
        <v>0</v>
      </c>
      <c r="M58" s="133">
        <f t="shared" si="21"/>
        <v>0</v>
      </c>
      <c r="N58" s="1196">
        <f t="shared" si="22"/>
        <v>0</v>
      </c>
      <c r="O58" s="1196">
        <f t="shared" si="19"/>
        <v>0</v>
      </c>
      <c r="P58" s="137">
        <f t="shared" si="23"/>
        <v>0</v>
      </c>
      <c r="Q58" s="137">
        <f t="shared" si="24"/>
        <v>0</v>
      </c>
      <c r="R58" s="1642">
        <f t="shared" si="18"/>
        <v>0</v>
      </c>
    </row>
    <row r="59" spans="2:18">
      <c r="B59" s="134" t="s">
        <v>796</v>
      </c>
      <c r="C59" s="138">
        <f>EXP(-C57)</f>
        <v>1</v>
      </c>
      <c r="D59" s="135" t="s">
        <v>797</v>
      </c>
      <c r="G59" s="133">
        <v>2569</v>
      </c>
      <c r="H59" s="735">
        <v>0</v>
      </c>
      <c r="I59" s="1199">
        <f t="shared" si="11"/>
        <v>0.8</v>
      </c>
      <c r="J59" s="136">
        <f t="shared" si="12"/>
        <v>0</v>
      </c>
      <c r="K59" s="719">
        <f t="shared" si="13"/>
        <v>0</v>
      </c>
      <c r="L59" s="719">
        <f t="shared" si="20"/>
        <v>0</v>
      </c>
      <c r="M59" s="133">
        <f t="shared" si="21"/>
        <v>0</v>
      </c>
      <c r="N59" s="1196">
        <f t="shared" si="22"/>
        <v>0</v>
      </c>
      <c r="O59" s="1196">
        <f t="shared" si="19"/>
        <v>0</v>
      </c>
      <c r="P59" s="137">
        <f t="shared" si="23"/>
        <v>0</v>
      </c>
      <c r="Q59" s="137">
        <f t="shared" si="24"/>
        <v>0</v>
      </c>
      <c r="R59" s="1642">
        <f t="shared" si="18"/>
        <v>0</v>
      </c>
    </row>
    <row r="60" spans="2:18">
      <c r="B60" s="134" t="s">
        <v>798</v>
      </c>
      <c r="C60" s="134">
        <v>13</v>
      </c>
      <c r="D60" s="135" t="s">
        <v>799</v>
      </c>
      <c r="G60" s="133">
        <v>2570</v>
      </c>
      <c r="H60" s="735">
        <v>0</v>
      </c>
      <c r="I60" s="1199">
        <f t="shared" si="11"/>
        <v>0.8</v>
      </c>
      <c r="J60" s="136">
        <f t="shared" si="12"/>
        <v>0</v>
      </c>
      <c r="K60" s="719">
        <f t="shared" si="13"/>
        <v>0</v>
      </c>
      <c r="L60" s="719">
        <f t="shared" si="20"/>
        <v>0</v>
      </c>
      <c r="M60" s="133">
        <f>K60*(1-$C$32)</f>
        <v>0</v>
      </c>
      <c r="N60" s="1196">
        <f>L60+(N59*$C$30)</f>
        <v>0</v>
      </c>
      <c r="O60" s="1196">
        <f t="shared" si="19"/>
        <v>0</v>
      </c>
      <c r="P60" s="137">
        <f t="shared" si="23"/>
        <v>0</v>
      </c>
      <c r="Q60" s="137">
        <f t="shared" si="24"/>
        <v>0</v>
      </c>
      <c r="R60" s="1642">
        <f t="shared" si="18"/>
        <v>0</v>
      </c>
    </row>
    <row r="61" spans="2:18">
      <c r="B61" s="134" t="s">
        <v>800</v>
      </c>
      <c r="C61" s="139">
        <f>EXP(-C57*((13-C60)/12))</f>
        <v>1</v>
      </c>
      <c r="D61" s="135" t="s">
        <v>801</v>
      </c>
      <c r="G61" s="133">
        <v>2571</v>
      </c>
      <c r="H61" s="735">
        <v>0</v>
      </c>
      <c r="I61" s="1199">
        <f t="shared" si="11"/>
        <v>0.8</v>
      </c>
      <c r="J61" s="136">
        <f t="shared" si="12"/>
        <v>0</v>
      </c>
      <c r="K61" s="719">
        <f t="shared" si="13"/>
        <v>0</v>
      </c>
      <c r="L61" s="719">
        <f t="shared" si="20"/>
        <v>0</v>
      </c>
      <c r="M61" s="133">
        <f t="shared" si="21"/>
        <v>0</v>
      </c>
      <c r="N61" s="1196">
        <f t="shared" si="22"/>
        <v>0</v>
      </c>
      <c r="O61" s="1196">
        <f t="shared" si="19"/>
        <v>0</v>
      </c>
      <c r="P61" s="137">
        <f t="shared" si="23"/>
        <v>0</v>
      </c>
      <c r="Q61" s="137">
        <f t="shared" si="24"/>
        <v>0</v>
      </c>
      <c r="R61" s="1642">
        <f t="shared" si="18"/>
        <v>0</v>
      </c>
    </row>
    <row r="62" spans="2:18" ht="14.4">
      <c r="B62" s="1197" t="s">
        <v>2479</v>
      </c>
      <c r="C62" s="1192">
        <f>EF_Waste!$B$16</f>
        <v>0.5</v>
      </c>
      <c r="D62" s="135" t="s">
        <v>802</v>
      </c>
      <c r="G62" s="133">
        <v>2572</v>
      </c>
      <c r="H62" s="735">
        <v>0</v>
      </c>
      <c r="I62" s="1199">
        <f t="shared" si="11"/>
        <v>0.8</v>
      </c>
      <c r="J62" s="136">
        <f t="shared" si="12"/>
        <v>0</v>
      </c>
      <c r="K62" s="719">
        <f t="shared" si="13"/>
        <v>0</v>
      </c>
      <c r="L62" s="719">
        <f t="shared" si="20"/>
        <v>0</v>
      </c>
      <c r="M62" s="133">
        <f t="shared" si="21"/>
        <v>0</v>
      </c>
      <c r="N62" s="1196">
        <f t="shared" si="22"/>
        <v>0</v>
      </c>
      <c r="O62" s="1196">
        <f t="shared" si="19"/>
        <v>0</v>
      </c>
      <c r="P62" s="137">
        <f t="shared" si="23"/>
        <v>0</v>
      </c>
      <c r="Q62" s="137">
        <f t="shared" si="24"/>
        <v>0</v>
      </c>
      <c r="R62" s="1642">
        <f t="shared" si="18"/>
        <v>0</v>
      </c>
    </row>
    <row r="63" spans="2:18">
      <c r="B63" s="1197" t="s">
        <v>803</v>
      </c>
      <c r="C63" s="1192">
        <f>EF_Waste!$B$15</f>
        <v>0</v>
      </c>
      <c r="D63" s="135" t="s">
        <v>804</v>
      </c>
      <c r="G63" s="133">
        <v>2573</v>
      </c>
      <c r="H63" s="735">
        <v>0</v>
      </c>
      <c r="I63" s="1199">
        <f t="shared" si="11"/>
        <v>0.8</v>
      </c>
      <c r="J63" s="136">
        <f t="shared" si="12"/>
        <v>0</v>
      </c>
      <c r="K63" s="719">
        <f t="shared" si="13"/>
        <v>0</v>
      </c>
      <c r="L63" s="719">
        <f t="shared" si="20"/>
        <v>0</v>
      </c>
      <c r="M63" s="133">
        <f t="shared" si="21"/>
        <v>0</v>
      </c>
      <c r="N63" s="1196">
        <f t="shared" si="22"/>
        <v>0</v>
      </c>
      <c r="O63" s="1196">
        <f>M63+N62*(1-$C$59)</f>
        <v>0</v>
      </c>
      <c r="P63" s="137">
        <f t="shared" si="23"/>
        <v>0</v>
      </c>
      <c r="Q63" s="137">
        <f t="shared" si="24"/>
        <v>0</v>
      </c>
      <c r="R63" s="1642">
        <f t="shared" si="18"/>
        <v>0</v>
      </c>
    </row>
    <row r="64" spans="2:18">
      <c r="B64" s="1198" t="s">
        <v>820</v>
      </c>
      <c r="C64" s="1193">
        <f>EF_Waste!$B$10</f>
        <v>0.8</v>
      </c>
      <c r="D64" s="141" t="s">
        <v>776</v>
      </c>
    </row>
    <row r="67" spans="1:18" s="99" customFormat="1">
      <c r="A67" s="715" t="s">
        <v>1960</v>
      </c>
      <c r="B67" s="716"/>
      <c r="C67" s="717"/>
      <c r="D67" s="717"/>
      <c r="E67" s="718"/>
      <c r="F67" s="718"/>
      <c r="G67" s="718"/>
      <c r="H67" s="718"/>
      <c r="I67" s="718"/>
      <c r="J67" s="718"/>
      <c r="K67" s="718"/>
      <c r="L67" s="718"/>
      <c r="M67" s="718"/>
      <c r="N67" s="718"/>
      <c r="O67" s="718"/>
      <c r="P67" s="718"/>
      <c r="Q67" s="718"/>
      <c r="R67" s="718"/>
    </row>
    <row r="68" spans="1:18">
      <c r="A68" s="2129" t="s">
        <v>765</v>
      </c>
      <c r="B68" s="2130"/>
      <c r="C68" s="2130"/>
      <c r="D68" s="2130"/>
      <c r="E68" s="2130"/>
      <c r="F68" s="2130"/>
      <c r="G68" s="2130"/>
      <c r="H68" s="2130"/>
      <c r="I68" s="2130"/>
      <c r="J68" s="2130"/>
      <c r="K68" s="2130"/>
      <c r="L68" s="2130"/>
      <c r="M68" s="2130"/>
      <c r="N68" s="2130"/>
      <c r="O68" s="2130"/>
      <c r="P68" s="2130"/>
      <c r="Q68" s="2130"/>
      <c r="R68" s="2130"/>
    </row>
    <row r="69" spans="1:18">
      <c r="A69" s="209"/>
      <c r="B69" s="210"/>
      <c r="C69" s="210"/>
      <c r="D69" s="210"/>
      <c r="E69" s="210"/>
      <c r="F69" s="210"/>
      <c r="G69" s="210"/>
      <c r="H69" s="210"/>
      <c r="I69" s="210"/>
      <c r="J69" s="210"/>
      <c r="K69" s="210"/>
      <c r="L69" s="210"/>
      <c r="M69" s="210"/>
      <c r="N69" s="210"/>
      <c r="O69" s="210"/>
      <c r="P69" s="210"/>
      <c r="Q69" s="210"/>
      <c r="R69" s="210"/>
    </row>
    <row r="70" spans="1:18" ht="26.4">
      <c r="A70" s="128"/>
      <c r="B70" s="1194" t="s">
        <v>1948</v>
      </c>
      <c r="E70" s="142"/>
      <c r="G70" s="1175" t="s">
        <v>766</v>
      </c>
      <c r="H70" s="1598" t="s">
        <v>767</v>
      </c>
      <c r="I70" s="1599" t="s">
        <v>768</v>
      </c>
      <c r="J70" s="1598" t="s">
        <v>769</v>
      </c>
      <c r="K70" s="1599" t="s">
        <v>770</v>
      </c>
      <c r="L70" s="1598" t="s">
        <v>771</v>
      </c>
      <c r="M70" s="1599" t="s">
        <v>772</v>
      </c>
      <c r="N70" s="1598" t="s">
        <v>773</v>
      </c>
      <c r="O70" s="1599" t="s">
        <v>774</v>
      </c>
      <c r="P70" s="1598" t="s">
        <v>2480</v>
      </c>
      <c r="Q70" s="1598" t="s">
        <v>2481</v>
      </c>
      <c r="R70" s="1598" t="s">
        <v>2482</v>
      </c>
    </row>
    <row r="71" spans="1:18">
      <c r="B71" s="1091" t="s">
        <v>806</v>
      </c>
      <c r="C71" s="1091" t="s">
        <v>807</v>
      </c>
      <c r="D71" s="1092" t="s">
        <v>808</v>
      </c>
      <c r="E71" s="1092" t="s">
        <v>792</v>
      </c>
      <c r="G71" s="1176"/>
      <c r="H71" s="1177" t="s">
        <v>775</v>
      </c>
      <c r="I71" s="1600" t="s">
        <v>776</v>
      </c>
      <c r="J71" s="1177" t="s">
        <v>777</v>
      </c>
      <c r="K71" s="1600" t="s">
        <v>778</v>
      </c>
      <c r="L71" s="1177" t="s">
        <v>779</v>
      </c>
      <c r="M71" s="1600" t="s">
        <v>780</v>
      </c>
      <c r="N71" s="1177" t="s">
        <v>781</v>
      </c>
      <c r="O71" s="1600" t="s">
        <v>782</v>
      </c>
      <c r="P71" s="1177" t="s">
        <v>783</v>
      </c>
      <c r="Q71" s="1177" t="s">
        <v>784</v>
      </c>
      <c r="R71" s="1601" t="s">
        <v>785</v>
      </c>
    </row>
    <row r="72" spans="1:18">
      <c r="B72" s="133" t="s">
        <v>809</v>
      </c>
      <c r="C72" s="1093"/>
      <c r="D72" s="292">
        <f>EF_Waste!$C$21</f>
        <v>0.15</v>
      </c>
      <c r="E72" s="292">
        <f>EF_Waste!$H$21</f>
        <v>0.4</v>
      </c>
      <c r="G72" s="1178"/>
      <c r="H72" s="1179"/>
      <c r="I72" s="1602"/>
      <c r="J72" s="1179"/>
      <c r="K72" s="1602" t="s">
        <v>786</v>
      </c>
      <c r="L72" s="1602" t="s">
        <v>786</v>
      </c>
      <c r="M72" s="1602" t="s">
        <v>786</v>
      </c>
      <c r="N72" s="1179" t="s">
        <v>786</v>
      </c>
      <c r="O72" s="1602" t="s">
        <v>786</v>
      </c>
      <c r="P72" s="1179" t="s">
        <v>786</v>
      </c>
      <c r="Q72" s="1179" t="s">
        <v>786</v>
      </c>
      <c r="R72" s="1723">
        <f>GPC!$F$85</f>
        <v>28</v>
      </c>
    </row>
    <row r="73" spans="1:18">
      <c r="B73" s="133" t="s">
        <v>810</v>
      </c>
      <c r="C73" s="1093"/>
      <c r="D73" s="292">
        <f>EF_Waste!$C$22</f>
        <v>0.4</v>
      </c>
      <c r="E73" s="292">
        <f>EF_Waste!$H$22</f>
        <v>7.0000000000000007E-2</v>
      </c>
      <c r="G73" s="133"/>
      <c r="H73" s="735"/>
      <c r="I73" s="133"/>
      <c r="J73" s="136"/>
      <c r="K73" s="719"/>
      <c r="L73" s="719"/>
      <c r="M73" s="133"/>
      <c r="N73" s="137"/>
      <c r="O73" s="137"/>
      <c r="P73" s="137"/>
      <c r="Q73" s="137"/>
      <c r="R73" s="137"/>
    </row>
    <row r="74" spans="1:18">
      <c r="B74" s="133" t="s">
        <v>811</v>
      </c>
      <c r="C74" s="1093"/>
      <c r="D74" s="292">
        <f>EF_Waste!$C$23</f>
        <v>0</v>
      </c>
      <c r="E74" s="292">
        <f>EF_Waste!$H$23</f>
        <v>0</v>
      </c>
      <c r="G74" s="133">
        <v>2553</v>
      </c>
      <c r="H74" s="735">
        <f>'Waste_Input DATA '!C97</f>
        <v>0</v>
      </c>
      <c r="I74" s="1199">
        <f>$C$95</f>
        <v>1</v>
      </c>
      <c r="J74" s="136">
        <f>$C$86</f>
        <v>0</v>
      </c>
      <c r="K74" s="719">
        <f>H74*J74*$C$87*I74</f>
        <v>0</v>
      </c>
      <c r="L74" s="719">
        <f>K74*$C$92</f>
        <v>0</v>
      </c>
      <c r="M74" s="133">
        <f>K74*(1-$C$92)</f>
        <v>0</v>
      </c>
      <c r="N74" s="137">
        <f>L74+(N73*$C$90)</f>
        <v>0</v>
      </c>
      <c r="O74" s="1196">
        <f>M74+N73*(1-$C$90)</f>
        <v>0</v>
      </c>
      <c r="P74" s="137">
        <f>O74*16/12*$C$93</f>
        <v>0</v>
      </c>
      <c r="Q74" s="137">
        <f>P74*(1-$C$94)</f>
        <v>0</v>
      </c>
      <c r="R74" s="1642">
        <f>Q74*$R$72</f>
        <v>0</v>
      </c>
    </row>
    <row r="75" spans="1:18">
      <c r="B75" s="133" t="s">
        <v>812</v>
      </c>
      <c r="C75" s="1093"/>
      <c r="D75" s="292">
        <f>EF_Waste!$C$24</f>
        <v>0</v>
      </c>
      <c r="E75" s="292">
        <f>EF_Waste!$H$24</f>
        <v>0</v>
      </c>
      <c r="G75" s="133">
        <v>2554</v>
      </c>
      <c r="H75" s="735">
        <f>'Waste_Input DATA '!C98</f>
        <v>0</v>
      </c>
      <c r="I75" s="1199">
        <f t="shared" ref="I75:I94" si="25">$C$95</f>
        <v>1</v>
      </c>
      <c r="J75" s="136">
        <f t="shared" ref="J75:J94" si="26">$C$86</f>
        <v>0</v>
      </c>
      <c r="K75" s="719">
        <f t="shared" ref="K75:K94" si="27">H75*J75*$C$87*I75</f>
        <v>0</v>
      </c>
      <c r="L75" s="719">
        <f t="shared" ref="L75:L94" si="28">K75*$C$92</f>
        <v>0</v>
      </c>
      <c r="M75" s="133">
        <f t="shared" ref="M75:M94" si="29">K75*(1-$C$92)</f>
        <v>0</v>
      </c>
      <c r="N75" s="137">
        <f t="shared" ref="N75:N94" si="30">L75+(N74*$C$90)</f>
        <v>0</v>
      </c>
      <c r="O75" s="1196">
        <f t="shared" ref="O75:O94" si="31">M75+N74*(1-$C$90)</f>
        <v>0</v>
      </c>
      <c r="P75" s="137">
        <f t="shared" ref="P75:P94" si="32">O75*16/12*$C$93</f>
        <v>0</v>
      </c>
      <c r="Q75" s="137">
        <f t="shared" ref="Q75:Q94" si="33">P75*(1-$C$94)</f>
        <v>0</v>
      </c>
      <c r="R75" s="1642">
        <f t="shared" ref="R75:R94" si="34">Q75*$R$72</f>
        <v>0</v>
      </c>
    </row>
    <row r="76" spans="1:18">
      <c r="B76" s="133" t="s">
        <v>813</v>
      </c>
      <c r="C76" s="1093"/>
      <c r="D76" s="292">
        <f>EF_Waste!$C$25</f>
        <v>0</v>
      </c>
      <c r="E76" s="292">
        <f>EF_Waste!$H$25</f>
        <v>0</v>
      </c>
      <c r="G76" s="133">
        <v>2555</v>
      </c>
      <c r="H76" s="735">
        <f>'Waste_Input DATA '!C99</f>
        <v>0</v>
      </c>
      <c r="I76" s="1199">
        <f t="shared" si="25"/>
        <v>1</v>
      </c>
      <c r="J76" s="136">
        <f t="shared" si="26"/>
        <v>0</v>
      </c>
      <c r="K76" s="719">
        <f t="shared" si="27"/>
        <v>0</v>
      </c>
      <c r="L76" s="719">
        <f t="shared" si="28"/>
        <v>0</v>
      </c>
      <c r="M76" s="133">
        <f t="shared" si="29"/>
        <v>0</v>
      </c>
      <c r="N76" s="137">
        <f t="shared" si="30"/>
        <v>0</v>
      </c>
      <c r="O76" s="1196">
        <f t="shared" si="31"/>
        <v>0</v>
      </c>
      <c r="P76" s="137">
        <f>O76*16/12*$C$93</f>
        <v>0</v>
      </c>
      <c r="Q76" s="137">
        <f t="shared" si="33"/>
        <v>0</v>
      </c>
      <c r="R76" s="1642">
        <f t="shared" si="34"/>
        <v>0</v>
      </c>
    </row>
    <row r="77" spans="1:18">
      <c r="B77" s="133" t="s">
        <v>814</v>
      </c>
      <c r="C77" s="1093"/>
      <c r="D77" s="292">
        <f>EF_Waste!$C$26</f>
        <v>0</v>
      </c>
      <c r="E77" s="292">
        <f>EF_Waste!$H$26</f>
        <v>0</v>
      </c>
      <c r="G77" s="133">
        <v>2556</v>
      </c>
      <c r="H77" s="735">
        <f>'Waste_Input DATA '!C100</f>
        <v>0</v>
      </c>
      <c r="I77" s="1199">
        <f t="shared" si="25"/>
        <v>1</v>
      </c>
      <c r="J77" s="136">
        <f t="shared" si="26"/>
        <v>0</v>
      </c>
      <c r="K77" s="719">
        <f t="shared" si="27"/>
        <v>0</v>
      </c>
      <c r="L77" s="719">
        <f t="shared" si="28"/>
        <v>0</v>
      </c>
      <c r="M77" s="133">
        <f t="shared" si="29"/>
        <v>0</v>
      </c>
      <c r="N77" s="137">
        <f t="shared" si="30"/>
        <v>0</v>
      </c>
      <c r="O77" s="1196">
        <f t="shared" si="31"/>
        <v>0</v>
      </c>
      <c r="P77" s="137">
        <f t="shared" si="32"/>
        <v>0</v>
      </c>
      <c r="Q77" s="137">
        <f t="shared" si="33"/>
        <v>0</v>
      </c>
      <c r="R77" s="1642">
        <f t="shared" si="34"/>
        <v>0</v>
      </c>
    </row>
    <row r="78" spans="1:18">
      <c r="B78" s="133" t="s">
        <v>815</v>
      </c>
      <c r="C78" s="1093"/>
      <c r="D78" s="292">
        <f>EF_Waste!$C$28</f>
        <v>0.24</v>
      </c>
      <c r="E78" s="292">
        <f>EF_Waste!$H$27</f>
        <v>7.0000000000000007E-2</v>
      </c>
      <c r="G78" s="133">
        <v>2557</v>
      </c>
      <c r="H78" s="735">
        <f>'Waste_Input DATA '!C101</f>
        <v>0</v>
      </c>
      <c r="I78" s="1199">
        <f t="shared" si="25"/>
        <v>1</v>
      </c>
      <c r="J78" s="136">
        <f t="shared" si="26"/>
        <v>0</v>
      </c>
      <c r="K78" s="719">
        <f t="shared" si="27"/>
        <v>0</v>
      </c>
      <c r="L78" s="719">
        <f t="shared" si="28"/>
        <v>0</v>
      </c>
      <c r="M78" s="133">
        <f t="shared" si="29"/>
        <v>0</v>
      </c>
      <c r="N78" s="137">
        <f t="shared" si="30"/>
        <v>0</v>
      </c>
      <c r="O78" s="1196">
        <f t="shared" si="31"/>
        <v>0</v>
      </c>
      <c r="P78" s="137">
        <f t="shared" si="32"/>
        <v>0</v>
      </c>
      <c r="Q78" s="137">
        <f t="shared" si="33"/>
        <v>0</v>
      </c>
      <c r="R78" s="1642">
        <f t="shared" si="34"/>
        <v>0</v>
      </c>
    </row>
    <row r="79" spans="1:18">
      <c r="B79" s="133" t="s">
        <v>816</v>
      </c>
      <c r="C79" s="1093"/>
      <c r="D79" s="292">
        <f>EF_Waste!$C$29</f>
        <v>0.2</v>
      </c>
      <c r="E79" s="292">
        <f>EF_Waste!$H$28</f>
        <v>0.17</v>
      </c>
      <c r="G79" s="133">
        <v>2558</v>
      </c>
      <c r="H79" s="735">
        <f>'Waste_Input DATA '!C102</f>
        <v>0</v>
      </c>
      <c r="I79" s="1199">
        <f t="shared" si="25"/>
        <v>1</v>
      </c>
      <c r="J79" s="136">
        <f t="shared" si="26"/>
        <v>0</v>
      </c>
      <c r="K79" s="719">
        <f t="shared" si="27"/>
        <v>0</v>
      </c>
      <c r="L79" s="719">
        <f t="shared" si="28"/>
        <v>0</v>
      </c>
      <c r="M79" s="133">
        <f t="shared" si="29"/>
        <v>0</v>
      </c>
      <c r="N79" s="137">
        <f t="shared" si="30"/>
        <v>0</v>
      </c>
      <c r="O79" s="1196">
        <f t="shared" si="31"/>
        <v>0</v>
      </c>
      <c r="P79" s="137">
        <f t="shared" si="32"/>
        <v>0</v>
      </c>
      <c r="Q79" s="137">
        <f t="shared" si="33"/>
        <v>0</v>
      </c>
      <c r="R79" s="1642">
        <f t="shared" si="34"/>
        <v>0</v>
      </c>
    </row>
    <row r="80" spans="1:18">
      <c r="B80" s="133" t="s">
        <v>817</v>
      </c>
      <c r="C80" s="1093"/>
      <c r="D80" s="292">
        <f>EF_Waste!$C$30</f>
        <v>0</v>
      </c>
      <c r="E80" s="292">
        <f>EF_Waste!$H$30</f>
        <v>0</v>
      </c>
      <c r="G80" s="133">
        <v>2559</v>
      </c>
      <c r="H80" s="735">
        <f>'Waste_Input DATA '!C103</f>
        <v>0</v>
      </c>
      <c r="I80" s="1199">
        <f t="shared" si="25"/>
        <v>1</v>
      </c>
      <c r="J80" s="136">
        <f t="shared" si="26"/>
        <v>0</v>
      </c>
      <c r="K80" s="719">
        <f t="shared" si="27"/>
        <v>0</v>
      </c>
      <c r="L80" s="719">
        <f t="shared" si="28"/>
        <v>0</v>
      </c>
      <c r="M80" s="133">
        <f t="shared" si="29"/>
        <v>0</v>
      </c>
      <c r="N80" s="137">
        <f t="shared" si="30"/>
        <v>0</v>
      </c>
      <c r="O80" s="1196">
        <f t="shared" si="31"/>
        <v>0</v>
      </c>
      <c r="P80" s="137">
        <f t="shared" si="32"/>
        <v>0</v>
      </c>
      <c r="Q80" s="137">
        <f t="shared" si="33"/>
        <v>0</v>
      </c>
      <c r="R80" s="1642">
        <f t="shared" si="34"/>
        <v>0</v>
      </c>
    </row>
    <row r="81" spans="1:18">
      <c r="B81" s="133" t="s">
        <v>266</v>
      </c>
      <c r="C81" s="1093"/>
      <c r="D81" s="292">
        <f>EF_Waste!$C$31</f>
        <v>0</v>
      </c>
      <c r="E81" s="292">
        <f>EF_Waste!$H$31</f>
        <v>0</v>
      </c>
      <c r="G81" s="133">
        <v>2560</v>
      </c>
      <c r="H81" s="735">
        <f>'Waste_Input DATA '!C104</f>
        <v>0</v>
      </c>
      <c r="I81" s="1199">
        <f t="shared" si="25"/>
        <v>1</v>
      </c>
      <c r="J81" s="136">
        <f t="shared" si="26"/>
        <v>0</v>
      </c>
      <c r="K81" s="719">
        <f t="shared" si="27"/>
        <v>0</v>
      </c>
      <c r="L81" s="719">
        <f t="shared" si="28"/>
        <v>0</v>
      </c>
      <c r="M81" s="133">
        <f t="shared" si="29"/>
        <v>0</v>
      </c>
      <c r="N81" s="137">
        <f t="shared" si="30"/>
        <v>0</v>
      </c>
      <c r="O81" s="1196">
        <f t="shared" si="31"/>
        <v>0</v>
      </c>
      <c r="P81" s="137">
        <f t="shared" si="32"/>
        <v>0</v>
      </c>
      <c r="Q81" s="137">
        <f t="shared" si="33"/>
        <v>0</v>
      </c>
      <c r="R81" s="1642">
        <f t="shared" si="34"/>
        <v>0</v>
      </c>
    </row>
    <row r="82" spans="1:18">
      <c r="B82" s="146" t="s">
        <v>250</v>
      </c>
      <c r="C82" s="147">
        <f>SUM(C72:C81)</f>
        <v>0</v>
      </c>
      <c r="D82" s="147">
        <f>SUMPRODUCT(C72:C81,D72:D81)/100</f>
        <v>0</v>
      </c>
      <c r="E82" s="147">
        <f>IFERROR((((E72*C72/100)+(E73*C73/100)+(E79*C79/100)+(E78*C78/100))/(C72+C73+C79+C78)*100),0)</f>
        <v>0</v>
      </c>
      <c r="G82" s="133">
        <v>2561</v>
      </c>
      <c r="H82" s="735">
        <f>'Waste_Input DATA '!C105</f>
        <v>0</v>
      </c>
      <c r="I82" s="1199">
        <f t="shared" si="25"/>
        <v>1</v>
      </c>
      <c r="J82" s="136">
        <f t="shared" si="26"/>
        <v>0</v>
      </c>
      <c r="K82" s="719">
        <f t="shared" si="27"/>
        <v>0</v>
      </c>
      <c r="L82" s="719">
        <f t="shared" si="28"/>
        <v>0</v>
      </c>
      <c r="M82" s="133">
        <f t="shared" si="29"/>
        <v>0</v>
      </c>
      <c r="N82" s="137">
        <f t="shared" si="30"/>
        <v>0</v>
      </c>
      <c r="O82" s="1196">
        <f t="shared" si="31"/>
        <v>0</v>
      </c>
      <c r="P82" s="137">
        <f t="shared" si="32"/>
        <v>0</v>
      </c>
      <c r="Q82" s="137">
        <f t="shared" si="33"/>
        <v>0</v>
      </c>
      <c r="R82" s="1642">
        <f t="shared" si="34"/>
        <v>0</v>
      </c>
    </row>
    <row r="83" spans="1:18">
      <c r="C83" s="148"/>
      <c r="D83" s="149" t="s">
        <v>818</v>
      </c>
      <c r="E83" s="149" t="s">
        <v>818</v>
      </c>
      <c r="F83" s="846"/>
      <c r="G83" s="133">
        <v>2562</v>
      </c>
      <c r="H83" s="735">
        <f>'Waste_Input DATA '!C106</f>
        <v>0</v>
      </c>
      <c r="I83" s="1199">
        <f t="shared" si="25"/>
        <v>1</v>
      </c>
      <c r="J83" s="136">
        <f t="shared" si="26"/>
        <v>0</v>
      </c>
      <c r="K83" s="719">
        <f t="shared" si="27"/>
        <v>0</v>
      </c>
      <c r="L83" s="719">
        <f t="shared" si="28"/>
        <v>0</v>
      </c>
      <c r="M83" s="133">
        <f t="shared" si="29"/>
        <v>0</v>
      </c>
      <c r="N83" s="137">
        <f t="shared" si="30"/>
        <v>0</v>
      </c>
      <c r="O83" s="1196">
        <f t="shared" si="31"/>
        <v>0</v>
      </c>
      <c r="P83" s="137">
        <f t="shared" si="32"/>
        <v>0</v>
      </c>
      <c r="Q83" s="137">
        <f t="shared" si="33"/>
        <v>0</v>
      </c>
      <c r="R83" s="1642">
        <f t="shared" si="34"/>
        <v>0</v>
      </c>
    </row>
    <row r="84" spans="1:18">
      <c r="F84" s="846"/>
      <c r="G84" s="133">
        <v>2563</v>
      </c>
      <c r="H84" s="735">
        <v>0</v>
      </c>
      <c r="I84" s="1199">
        <f t="shared" si="25"/>
        <v>1</v>
      </c>
      <c r="J84" s="136">
        <f t="shared" si="26"/>
        <v>0</v>
      </c>
      <c r="K84" s="719">
        <f t="shared" si="27"/>
        <v>0</v>
      </c>
      <c r="L84" s="719">
        <f t="shared" si="28"/>
        <v>0</v>
      </c>
      <c r="M84" s="133">
        <f t="shared" si="29"/>
        <v>0</v>
      </c>
      <c r="N84" s="137">
        <f t="shared" si="30"/>
        <v>0</v>
      </c>
      <c r="O84" s="1196">
        <f t="shared" si="31"/>
        <v>0</v>
      </c>
      <c r="P84" s="137">
        <f t="shared" si="32"/>
        <v>0</v>
      </c>
      <c r="Q84" s="137">
        <f t="shared" si="33"/>
        <v>0</v>
      </c>
      <c r="R84" s="1642">
        <f t="shared" si="34"/>
        <v>0</v>
      </c>
    </row>
    <row r="85" spans="1:18">
      <c r="B85" s="1195" t="s">
        <v>1949</v>
      </c>
      <c r="F85" s="846"/>
      <c r="G85" s="133">
        <v>2564</v>
      </c>
      <c r="H85" s="735">
        <v>0</v>
      </c>
      <c r="I85" s="1199">
        <f t="shared" si="25"/>
        <v>1</v>
      </c>
      <c r="J85" s="136">
        <f t="shared" si="26"/>
        <v>0</v>
      </c>
      <c r="K85" s="719">
        <f t="shared" si="27"/>
        <v>0</v>
      </c>
      <c r="L85" s="719">
        <f t="shared" si="28"/>
        <v>0</v>
      </c>
      <c r="M85" s="133">
        <f t="shared" si="29"/>
        <v>0</v>
      </c>
      <c r="N85" s="137">
        <f t="shared" si="30"/>
        <v>0</v>
      </c>
      <c r="O85" s="1196">
        <f t="shared" si="31"/>
        <v>0</v>
      </c>
      <c r="P85" s="137">
        <f t="shared" si="32"/>
        <v>0</v>
      </c>
      <c r="Q85" s="137">
        <f t="shared" si="33"/>
        <v>0</v>
      </c>
      <c r="R85" s="1642">
        <f t="shared" si="34"/>
        <v>0</v>
      </c>
    </row>
    <row r="86" spans="1:18" ht="14.4">
      <c r="B86" s="130" t="s">
        <v>1950</v>
      </c>
      <c r="C86" s="131">
        <f>D82</f>
        <v>0</v>
      </c>
      <c r="D86" s="132"/>
      <c r="E86" s="128" t="s">
        <v>788</v>
      </c>
      <c r="F86" s="846"/>
      <c r="G86" s="133">
        <v>2565</v>
      </c>
      <c r="H86" s="735">
        <v>0</v>
      </c>
      <c r="I86" s="1199">
        <f t="shared" si="25"/>
        <v>1</v>
      </c>
      <c r="J86" s="136">
        <f t="shared" si="26"/>
        <v>0</v>
      </c>
      <c r="K86" s="719">
        <f t="shared" si="27"/>
        <v>0</v>
      </c>
      <c r="L86" s="719">
        <f t="shared" si="28"/>
        <v>0</v>
      </c>
      <c r="M86" s="133">
        <f t="shared" si="29"/>
        <v>0</v>
      </c>
      <c r="N86" s="137">
        <f t="shared" si="30"/>
        <v>0</v>
      </c>
      <c r="O86" s="1196">
        <f t="shared" si="31"/>
        <v>0</v>
      </c>
      <c r="P86" s="137">
        <f t="shared" si="32"/>
        <v>0</v>
      </c>
      <c r="Q86" s="137">
        <f t="shared" si="33"/>
        <v>0</v>
      </c>
      <c r="R86" s="1642">
        <f t="shared" si="34"/>
        <v>0</v>
      </c>
    </row>
    <row r="87" spans="1:18">
      <c r="B87" s="134" t="s">
        <v>789</v>
      </c>
      <c r="C87" s="1192">
        <f>EF_Waste!$B$6</f>
        <v>0.5</v>
      </c>
      <c r="D87" s="135" t="s">
        <v>790</v>
      </c>
      <c r="F87" s="846"/>
      <c r="G87" s="133">
        <v>2566</v>
      </c>
      <c r="H87" s="735">
        <v>0</v>
      </c>
      <c r="I87" s="1199">
        <f t="shared" si="25"/>
        <v>1</v>
      </c>
      <c r="J87" s="136">
        <f t="shared" si="26"/>
        <v>0</v>
      </c>
      <c r="K87" s="719">
        <f t="shared" si="27"/>
        <v>0</v>
      </c>
      <c r="L87" s="719">
        <f t="shared" si="28"/>
        <v>0</v>
      </c>
      <c r="M87" s="133">
        <f t="shared" si="29"/>
        <v>0</v>
      </c>
      <c r="N87" s="137">
        <f t="shared" si="30"/>
        <v>0</v>
      </c>
      <c r="O87" s="1196">
        <f t="shared" si="31"/>
        <v>0</v>
      </c>
      <c r="P87" s="137">
        <f t="shared" si="32"/>
        <v>0</v>
      </c>
      <c r="Q87" s="137">
        <f t="shared" si="33"/>
        <v>0</v>
      </c>
      <c r="R87" s="1642">
        <f t="shared" si="34"/>
        <v>0</v>
      </c>
    </row>
    <row r="88" spans="1:18">
      <c r="B88" s="134" t="s">
        <v>791</v>
      </c>
      <c r="C88" s="138">
        <f>E82</f>
        <v>0</v>
      </c>
      <c r="D88" s="135" t="s">
        <v>792</v>
      </c>
      <c r="E88" s="128" t="s">
        <v>793</v>
      </c>
      <c r="F88" s="846"/>
      <c r="G88" s="133">
        <v>2567</v>
      </c>
      <c r="H88" s="735">
        <v>0</v>
      </c>
      <c r="I88" s="1199">
        <f t="shared" si="25"/>
        <v>1</v>
      </c>
      <c r="J88" s="136">
        <f t="shared" si="26"/>
        <v>0</v>
      </c>
      <c r="K88" s="719">
        <f t="shared" si="27"/>
        <v>0</v>
      </c>
      <c r="L88" s="719">
        <f t="shared" si="28"/>
        <v>0</v>
      </c>
      <c r="M88" s="133">
        <f t="shared" si="29"/>
        <v>0</v>
      </c>
      <c r="N88" s="137">
        <f t="shared" si="30"/>
        <v>0</v>
      </c>
      <c r="O88" s="1196">
        <f t="shared" si="31"/>
        <v>0</v>
      </c>
      <c r="P88" s="137">
        <f t="shared" si="32"/>
        <v>0</v>
      </c>
      <c r="Q88" s="137">
        <f t="shared" si="33"/>
        <v>0</v>
      </c>
      <c r="R88" s="1642">
        <f t="shared" si="34"/>
        <v>0</v>
      </c>
    </row>
    <row r="89" spans="1:18">
      <c r="B89" s="134" t="s">
        <v>794</v>
      </c>
      <c r="C89" s="138">
        <f>IFERROR(LN(2)/C88,0)</f>
        <v>0</v>
      </c>
      <c r="D89" s="135" t="s">
        <v>795</v>
      </c>
      <c r="F89" s="846"/>
      <c r="G89" s="133">
        <v>2568</v>
      </c>
      <c r="H89" s="735">
        <v>0</v>
      </c>
      <c r="I89" s="1199">
        <f t="shared" si="25"/>
        <v>1</v>
      </c>
      <c r="J89" s="136">
        <f t="shared" si="26"/>
        <v>0</v>
      </c>
      <c r="K89" s="719">
        <f t="shared" si="27"/>
        <v>0</v>
      </c>
      <c r="L89" s="719">
        <f t="shared" si="28"/>
        <v>0</v>
      </c>
      <c r="M89" s="133">
        <f t="shared" si="29"/>
        <v>0</v>
      </c>
      <c r="N89" s="137">
        <f t="shared" si="30"/>
        <v>0</v>
      </c>
      <c r="O89" s="1196">
        <f t="shared" si="31"/>
        <v>0</v>
      </c>
      <c r="P89" s="137">
        <f t="shared" si="32"/>
        <v>0</v>
      </c>
      <c r="Q89" s="137">
        <f t="shared" si="33"/>
        <v>0</v>
      </c>
      <c r="R89" s="1642">
        <f t="shared" si="34"/>
        <v>0</v>
      </c>
    </row>
    <row r="90" spans="1:18">
      <c r="B90" s="134" t="s">
        <v>796</v>
      </c>
      <c r="C90" s="138">
        <f>EXP(-C88)</f>
        <v>1</v>
      </c>
      <c r="D90" s="135" t="s">
        <v>797</v>
      </c>
      <c r="G90" s="133">
        <v>2569</v>
      </c>
      <c r="H90" s="735">
        <v>0</v>
      </c>
      <c r="I90" s="1199">
        <f t="shared" si="25"/>
        <v>1</v>
      </c>
      <c r="J90" s="136">
        <f t="shared" si="26"/>
        <v>0</v>
      </c>
      <c r="K90" s="719">
        <f t="shared" si="27"/>
        <v>0</v>
      </c>
      <c r="L90" s="719">
        <f t="shared" si="28"/>
        <v>0</v>
      </c>
      <c r="M90" s="133">
        <f t="shared" si="29"/>
        <v>0</v>
      </c>
      <c r="N90" s="137">
        <f t="shared" si="30"/>
        <v>0</v>
      </c>
      <c r="O90" s="1196">
        <f t="shared" si="31"/>
        <v>0</v>
      </c>
      <c r="P90" s="137">
        <f t="shared" si="32"/>
        <v>0</v>
      </c>
      <c r="Q90" s="137">
        <f t="shared" si="33"/>
        <v>0</v>
      </c>
      <c r="R90" s="1642">
        <f t="shared" si="34"/>
        <v>0</v>
      </c>
    </row>
    <row r="91" spans="1:18">
      <c r="B91" s="134" t="s">
        <v>798</v>
      </c>
      <c r="C91" s="134">
        <v>13</v>
      </c>
      <c r="D91" s="135" t="s">
        <v>799</v>
      </c>
      <c r="G91" s="133">
        <v>2570</v>
      </c>
      <c r="H91" s="735">
        <v>0</v>
      </c>
      <c r="I91" s="1199">
        <f t="shared" si="25"/>
        <v>1</v>
      </c>
      <c r="J91" s="136">
        <f t="shared" si="26"/>
        <v>0</v>
      </c>
      <c r="K91" s="719">
        <f t="shared" si="27"/>
        <v>0</v>
      </c>
      <c r="L91" s="719">
        <f t="shared" si="28"/>
        <v>0</v>
      </c>
      <c r="M91" s="133">
        <f t="shared" si="29"/>
        <v>0</v>
      </c>
      <c r="N91" s="137">
        <f t="shared" si="30"/>
        <v>0</v>
      </c>
      <c r="O91" s="1196">
        <f t="shared" si="31"/>
        <v>0</v>
      </c>
      <c r="P91" s="137">
        <f t="shared" si="32"/>
        <v>0</v>
      </c>
      <c r="Q91" s="137">
        <f t="shared" si="33"/>
        <v>0</v>
      </c>
      <c r="R91" s="1642">
        <f t="shared" si="34"/>
        <v>0</v>
      </c>
    </row>
    <row r="92" spans="1:18">
      <c r="B92" s="134" t="s">
        <v>800</v>
      </c>
      <c r="C92" s="139">
        <f>EXP(-C88*((13-C91)/12))</f>
        <v>1</v>
      </c>
      <c r="D92" s="135" t="s">
        <v>801</v>
      </c>
      <c r="G92" s="133">
        <v>2571</v>
      </c>
      <c r="H92" s="735">
        <v>0</v>
      </c>
      <c r="I92" s="1199">
        <f t="shared" si="25"/>
        <v>1</v>
      </c>
      <c r="J92" s="136">
        <f t="shared" si="26"/>
        <v>0</v>
      </c>
      <c r="K92" s="719">
        <f t="shared" si="27"/>
        <v>0</v>
      </c>
      <c r="L92" s="719">
        <f t="shared" si="28"/>
        <v>0</v>
      </c>
      <c r="M92" s="133">
        <f t="shared" si="29"/>
        <v>0</v>
      </c>
      <c r="N92" s="137">
        <f t="shared" si="30"/>
        <v>0</v>
      </c>
      <c r="O92" s="1196">
        <f t="shared" si="31"/>
        <v>0</v>
      </c>
      <c r="P92" s="137">
        <f t="shared" si="32"/>
        <v>0</v>
      </c>
      <c r="Q92" s="137">
        <f t="shared" si="33"/>
        <v>0</v>
      </c>
      <c r="R92" s="1642">
        <f t="shared" si="34"/>
        <v>0</v>
      </c>
    </row>
    <row r="93" spans="1:18" ht="14.4">
      <c r="B93" s="134" t="s">
        <v>2478</v>
      </c>
      <c r="C93" s="1192">
        <f>EF_Waste!$B$16</f>
        <v>0.5</v>
      </c>
      <c r="D93" s="135" t="s">
        <v>802</v>
      </c>
      <c r="G93" s="133">
        <v>2572</v>
      </c>
      <c r="H93" s="735">
        <v>0</v>
      </c>
      <c r="I93" s="1199">
        <f t="shared" si="25"/>
        <v>1</v>
      </c>
      <c r="J93" s="136">
        <f t="shared" si="26"/>
        <v>0</v>
      </c>
      <c r="K93" s="719">
        <f t="shared" si="27"/>
        <v>0</v>
      </c>
      <c r="L93" s="719">
        <f t="shared" si="28"/>
        <v>0</v>
      </c>
      <c r="M93" s="133">
        <f t="shared" si="29"/>
        <v>0</v>
      </c>
      <c r="N93" s="137">
        <f t="shared" si="30"/>
        <v>0</v>
      </c>
      <c r="O93" s="1196">
        <f t="shared" si="31"/>
        <v>0</v>
      </c>
      <c r="P93" s="137">
        <f t="shared" si="32"/>
        <v>0</v>
      </c>
      <c r="Q93" s="137">
        <f t="shared" si="33"/>
        <v>0</v>
      </c>
      <c r="R93" s="1642">
        <f t="shared" si="34"/>
        <v>0</v>
      </c>
    </row>
    <row r="94" spans="1:18">
      <c r="B94" s="134" t="s">
        <v>803</v>
      </c>
      <c r="C94" s="1192">
        <f>EF_Waste!$B$14</f>
        <v>0.1</v>
      </c>
      <c r="D94" s="135" t="s">
        <v>804</v>
      </c>
      <c r="G94" s="133">
        <v>2573</v>
      </c>
      <c r="H94" s="735">
        <v>0</v>
      </c>
      <c r="I94" s="1199">
        <f t="shared" si="25"/>
        <v>1</v>
      </c>
      <c r="J94" s="136">
        <f t="shared" si="26"/>
        <v>0</v>
      </c>
      <c r="K94" s="719">
        <f t="shared" si="27"/>
        <v>0</v>
      </c>
      <c r="L94" s="719">
        <f t="shared" si="28"/>
        <v>0</v>
      </c>
      <c r="M94" s="133">
        <f t="shared" si="29"/>
        <v>0</v>
      </c>
      <c r="N94" s="137">
        <f t="shared" si="30"/>
        <v>0</v>
      </c>
      <c r="O94" s="1196">
        <f t="shared" si="31"/>
        <v>0</v>
      </c>
      <c r="P94" s="137">
        <f t="shared" si="32"/>
        <v>0</v>
      </c>
      <c r="Q94" s="137">
        <f t="shared" si="33"/>
        <v>0</v>
      </c>
      <c r="R94" s="1642">
        <f t="shared" si="34"/>
        <v>0</v>
      </c>
    </row>
    <row r="95" spans="1:18">
      <c r="B95" s="140" t="s">
        <v>2432</v>
      </c>
      <c r="C95" s="1193">
        <f>EF_Waste!$B$8</f>
        <v>1</v>
      </c>
      <c r="D95" s="141" t="s">
        <v>776</v>
      </c>
    </row>
    <row r="96" spans="1:18" s="99" customFormat="1">
      <c r="A96" s="1088"/>
      <c r="B96" s="1089"/>
      <c r="C96" s="702"/>
      <c r="D96" s="702"/>
      <c r="E96" s="1090"/>
      <c r="F96" s="1090"/>
      <c r="G96" s="1090"/>
      <c r="H96" s="1090"/>
      <c r="I96" s="1090"/>
      <c r="J96" s="1090"/>
      <c r="K96" s="1090"/>
      <c r="L96" s="1090"/>
      <c r="M96" s="1090"/>
      <c r="N96" s="1090"/>
      <c r="O96" s="1090"/>
      <c r="P96" s="1090"/>
      <c r="Q96" s="1090"/>
      <c r="R96" s="1090"/>
    </row>
    <row r="97" spans="1:18" s="99" customFormat="1">
      <c r="A97" s="1088"/>
      <c r="B97" s="1089"/>
      <c r="C97" s="702"/>
      <c r="D97" s="702"/>
      <c r="E97" s="1090"/>
      <c r="F97" s="1090"/>
      <c r="G97" s="1090"/>
      <c r="H97" s="1090"/>
      <c r="I97" s="1090"/>
      <c r="J97" s="1090"/>
      <c r="K97" s="1090"/>
      <c r="L97" s="1090"/>
      <c r="M97" s="1090"/>
      <c r="N97" s="1090"/>
      <c r="O97" s="1090"/>
      <c r="P97" s="1090"/>
      <c r="Q97" s="1090"/>
      <c r="R97" s="1090"/>
    </row>
    <row r="98" spans="1:18" s="99" customFormat="1">
      <c r="A98" s="1088"/>
      <c r="B98" s="1089"/>
      <c r="C98" s="702"/>
      <c r="D98" s="702"/>
      <c r="E98" s="1090"/>
      <c r="F98" s="1090"/>
      <c r="G98" s="1090"/>
      <c r="H98" s="1090"/>
      <c r="I98" s="1090"/>
      <c r="J98" s="1090"/>
      <c r="K98" s="1090"/>
      <c r="L98" s="1090"/>
      <c r="M98" s="1090"/>
      <c r="N98" s="1090"/>
      <c r="O98" s="1090"/>
      <c r="P98" s="1090"/>
      <c r="Q98" s="1090"/>
      <c r="R98" s="1090"/>
    </row>
    <row r="99" spans="1:18" s="99" customFormat="1">
      <c r="A99" s="1088"/>
      <c r="B99" s="1089"/>
      <c r="C99" s="702"/>
      <c r="D99" s="702"/>
      <c r="E99" s="1090"/>
      <c r="F99" s="1090"/>
      <c r="G99" s="1090"/>
      <c r="H99" s="1090"/>
      <c r="I99" s="1090"/>
      <c r="J99" s="1090"/>
      <c r="K99" s="1090"/>
      <c r="L99" s="1090"/>
      <c r="M99" s="1090"/>
      <c r="N99" s="1090"/>
      <c r="O99" s="1090"/>
      <c r="P99" s="1090"/>
      <c r="Q99" s="1090"/>
      <c r="R99" s="1090"/>
    </row>
    <row r="100" spans="1:18">
      <c r="C100" s="148"/>
      <c r="G100" s="177"/>
      <c r="H100" s="291"/>
      <c r="I100" s="177"/>
      <c r="J100" s="178"/>
      <c r="K100" s="177"/>
      <c r="L100" s="177"/>
      <c r="M100" s="177"/>
      <c r="N100" s="179"/>
      <c r="O100" s="179"/>
      <c r="P100" s="179"/>
      <c r="Q100" s="179"/>
      <c r="R100" s="179"/>
    </row>
    <row r="101" spans="1:18">
      <c r="B101" s="437"/>
      <c r="C101" s="437"/>
      <c r="D101" s="437"/>
    </row>
  </sheetData>
  <mergeCells count="4">
    <mergeCell ref="A68:R68"/>
    <mergeCell ref="A2:R2"/>
    <mergeCell ref="A8:R8"/>
    <mergeCell ref="A37:R37"/>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63300"/>
  </sheetPr>
  <dimension ref="A1:U161"/>
  <sheetViews>
    <sheetView zoomScale="85" zoomScaleNormal="85" workbookViewId="0">
      <selection activeCell="J145" sqref="J145"/>
    </sheetView>
  </sheetViews>
  <sheetFormatPr defaultColWidth="9" defaultRowHeight="13.2"/>
  <cols>
    <col min="1" max="1" width="8.44140625" style="695" customWidth="1"/>
    <col min="2" max="3" width="15.44140625" style="695" customWidth="1"/>
    <col min="4" max="5" width="10.44140625" style="695" customWidth="1"/>
    <col min="6" max="6" width="15.44140625" style="695" customWidth="1"/>
    <col min="7" max="7" width="9" style="695"/>
    <col min="8" max="8" width="5.44140625" style="695" customWidth="1"/>
    <col min="9" max="10" width="15.44140625" style="695" customWidth="1"/>
    <col min="11" max="11" width="15.5546875" style="695" customWidth="1"/>
    <col min="12" max="14" width="10.44140625" style="695" customWidth="1"/>
    <col min="15" max="15" width="5.44140625" style="695" customWidth="1"/>
    <col min="16" max="17" width="15.44140625" style="695" customWidth="1"/>
    <col min="18" max="21" width="10.44140625" style="695" customWidth="1"/>
    <col min="22" max="22" width="5.44140625" style="695" customWidth="1"/>
    <col min="23" max="25" width="10.44140625" style="695" customWidth="1"/>
    <col min="26" max="16384" width="9" style="695"/>
  </cols>
  <sheetData>
    <row r="1" spans="1:21" s="205" customFormat="1">
      <c r="A1" s="122" t="s">
        <v>763</v>
      </c>
      <c r="B1" s="122"/>
      <c r="C1" s="122"/>
      <c r="D1" s="122"/>
      <c r="E1" s="122"/>
      <c r="F1" s="122"/>
      <c r="G1" s="122"/>
      <c r="H1" s="122"/>
      <c r="I1" s="122"/>
      <c r="J1" s="122"/>
      <c r="K1" s="122"/>
      <c r="L1" s="123"/>
      <c r="M1" s="123"/>
      <c r="N1" s="123"/>
      <c r="O1" s="123"/>
      <c r="P1" s="123"/>
      <c r="Q1" s="123"/>
      <c r="R1" s="123"/>
      <c r="S1" s="123"/>
      <c r="T1" s="123"/>
      <c r="U1" s="123"/>
    </row>
    <row r="2" spans="1:21" s="99" customFormat="1">
      <c r="A2" s="361" t="s">
        <v>848</v>
      </c>
      <c r="B2" s="362"/>
      <c r="C2" s="362"/>
      <c r="D2" s="362"/>
      <c r="E2" s="362"/>
      <c r="F2" s="362"/>
      <c r="G2" s="362"/>
      <c r="H2" s="362"/>
      <c r="I2" s="362"/>
      <c r="J2" s="362"/>
      <c r="K2" s="362"/>
      <c r="L2" s="362"/>
      <c r="M2" s="362"/>
      <c r="N2" s="362"/>
      <c r="O2" s="362"/>
      <c r="P2" s="362"/>
      <c r="Q2" s="362"/>
      <c r="R2" s="362"/>
      <c r="S2" s="362"/>
      <c r="T2" s="362"/>
      <c r="U2" s="362"/>
    </row>
    <row r="3" spans="1:21" s="99" customFormat="1">
      <c r="A3" s="209"/>
      <c r="B3" s="210"/>
      <c r="C3" s="210"/>
      <c r="D3" s="210"/>
      <c r="E3" s="210"/>
      <c r="F3" s="210"/>
      <c r="G3" s="210"/>
      <c r="H3" s="210"/>
      <c r="I3" s="210"/>
      <c r="J3" s="210"/>
      <c r="K3" s="210"/>
      <c r="L3" s="210"/>
      <c r="M3" s="210"/>
      <c r="N3" s="210"/>
      <c r="O3" s="210"/>
      <c r="P3" s="210"/>
      <c r="Q3" s="210"/>
      <c r="R3" s="210"/>
      <c r="S3" s="210"/>
      <c r="T3" s="210"/>
      <c r="U3" s="210"/>
    </row>
    <row r="4" spans="1:21" s="99" customFormat="1">
      <c r="A4" s="120" t="s">
        <v>254</v>
      </c>
      <c r="B4" s="1413">
        <f>'City information'!$C$4</f>
        <v>0</v>
      </c>
      <c r="C4" s="120"/>
      <c r="D4" s="120"/>
      <c r="E4" s="120"/>
      <c r="F4" s="857"/>
      <c r="G4" s="857"/>
      <c r="H4" s="857"/>
      <c r="I4" s="857"/>
      <c r="J4" s="857"/>
      <c r="K4" s="857"/>
      <c r="L4" s="857"/>
      <c r="M4" s="857"/>
      <c r="N4" s="857"/>
      <c r="O4" s="857"/>
      <c r="P4" s="857"/>
      <c r="Q4" s="857"/>
      <c r="R4" s="857"/>
      <c r="S4" s="857"/>
      <c r="T4" s="857"/>
      <c r="U4" s="857"/>
    </row>
    <row r="5" spans="1:21" s="99" customFormat="1">
      <c r="A5" s="120" t="s">
        <v>140</v>
      </c>
      <c r="B5" s="1413">
        <f>'City information'!$C$5</f>
        <v>2562</v>
      </c>
      <c r="C5" s="120"/>
      <c r="D5" s="120"/>
      <c r="E5" s="120"/>
      <c r="F5" s="857"/>
      <c r="G5" s="857"/>
      <c r="H5" s="857"/>
      <c r="I5" s="857"/>
      <c r="J5" s="857"/>
      <c r="K5" s="857"/>
      <c r="L5" s="857"/>
      <c r="M5" s="857"/>
      <c r="N5" s="857"/>
      <c r="O5" s="857"/>
      <c r="P5" s="857"/>
      <c r="Q5" s="857"/>
      <c r="R5" s="857"/>
      <c r="S5" s="857"/>
      <c r="T5" s="857"/>
      <c r="U5" s="857"/>
    </row>
    <row r="7" spans="1:21" s="99" customFormat="1">
      <c r="A7" s="715" t="s">
        <v>1957</v>
      </c>
      <c r="B7" s="716"/>
      <c r="C7" s="717"/>
      <c r="D7" s="717"/>
      <c r="E7" s="718"/>
      <c r="F7" s="718"/>
      <c r="G7" s="718"/>
      <c r="H7" s="718"/>
      <c r="I7" s="718"/>
      <c r="J7" s="718"/>
      <c r="K7" s="718"/>
      <c r="L7" s="718"/>
      <c r="M7" s="718"/>
      <c r="N7" s="718"/>
    </row>
    <row r="8" spans="1:21" s="99" customFormat="1">
      <c r="A8" s="1088"/>
      <c r="B8" s="1089"/>
      <c r="C8" s="702"/>
      <c r="D8" s="702"/>
      <c r="E8" s="1090"/>
      <c r="F8" s="1090"/>
      <c r="G8" s="1090"/>
      <c r="H8" s="1090"/>
      <c r="I8" s="1090"/>
      <c r="J8" s="1090"/>
      <c r="K8" s="1090"/>
      <c r="L8" s="1090"/>
      <c r="M8" s="1090"/>
      <c r="N8" s="1090"/>
    </row>
    <row r="9" spans="1:21">
      <c r="B9" s="600" t="s">
        <v>849</v>
      </c>
      <c r="C9" s="601"/>
      <c r="D9" s="602"/>
      <c r="E9" s="603"/>
      <c r="F9" s="602"/>
      <c r="G9" s="703"/>
      <c r="I9" s="696" t="s">
        <v>850</v>
      </c>
      <c r="J9" s="696"/>
      <c r="K9" s="696"/>
      <c r="L9" s="2133" t="s">
        <v>855</v>
      </c>
      <c r="M9" s="2133"/>
      <c r="N9" s="2133"/>
    </row>
    <row r="10" spans="1:21" ht="13.35" customHeight="1">
      <c r="B10" s="152" t="s">
        <v>851</v>
      </c>
      <c r="C10" s="150"/>
      <c r="D10" s="150"/>
      <c r="E10" s="704">
        <f>'Waste_Input DATA '!E53</f>
        <v>0</v>
      </c>
      <c r="F10" s="150" t="s">
        <v>852</v>
      </c>
      <c r="G10" s="151"/>
      <c r="I10" s="2135" t="s">
        <v>853</v>
      </c>
      <c r="J10" s="2136"/>
      <c r="K10" s="1201" t="s">
        <v>854</v>
      </c>
      <c r="L10" s="697" t="s">
        <v>857</v>
      </c>
      <c r="M10" s="858" t="s">
        <v>858</v>
      </c>
      <c r="N10" s="858" t="s">
        <v>859</v>
      </c>
    </row>
    <row r="11" spans="1:21">
      <c r="B11" s="152" t="s">
        <v>856</v>
      </c>
      <c r="C11" s="150"/>
      <c r="D11" s="150"/>
      <c r="E11" s="705">
        <f>L22</f>
        <v>0</v>
      </c>
      <c r="F11" s="150" t="s">
        <v>845</v>
      </c>
      <c r="G11" s="151"/>
      <c r="I11" s="2137"/>
      <c r="J11" s="2138"/>
      <c r="K11" s="698" t="s">
        <v>861</v>
      </c>
      <c r="L11" s="858" t="s">
        <v>861</v>
      </c>
      <c r="M11" s="858" t="s">
        <v>861</v>
      </c>
      <c r="N11" s="858" t="s">
        <v>861</v>
      </c>
    </row>
    <row r="12" spans="1:21">
      <c r="B12" s="152" t="s">
        <v>860</v>
      </c>
      <c r="C12" s="150"/>
      <c r="D12" s="150"/>
      <c r="E12" s="705">
        <f>M22</f>
        <v>0</v>
      </c>
      <c r="F12" s="150" t="s">
        <v>845</v>
      </c>
      <c r="G12" s="151"/>
      <c r="I12" s="2134" t="s">
        <v>809</v>
      </c>
      <c r="J12" s="2134"/>
      <c r="K12" s="1093">
        <f>'III.1 Landfill'!C12</f>
        <v>0</v>
      </c>
      <c r="L12" s="858">
        <v>40</v>
      </c>
      <c r="M12" s="858">
        <v>38</v>
      </c>
      <c r="N12" s="858">
        <v>0</v>
      </c>
    </row>
    <row r="13" spans="1:21">
      <c r="B13" s="152" t="s">
        <v>862</v>
      </c>
      <c r="C13" s="150"/>
      <c r="D13" s="150"/>
      <c r="E13" s="705">
        <f>N22</f>
        <v>0</v>
      </c>
      <c r="F13" s="150" t="s">
        <v>845</v>
      </c>
      <c r="G13" s="151"/>
      <c r="I13" s="2134" t="s">
        <v>810</v>
      </c>
      <c r="J13" s="2134"/>
      <c r="K13" s="1093">
        <f>'III.1 Landfill'!C13</f>
        <v>0</v>
      </c>
      <c r="L13" s="858">
        <v>90</v>
      </c>
      <c r="M13" s="858">
        <v>46</v>
      </c>
      <c r="N13" s="858">
        <v>1</v>
      </c>
    </row>
    <row r="14" spans="1:21">
      <c r="B14" s="152" t="s">
        <v>863</v>
      </c>
      <c r="C14" s="150"/>
      <c r="D14" s="150"/>
      <c r="E14" s="705">
        <v>58</v>
      </c>
      <c r="F14" s="150" t="s">
        <v>845</v>
      </c>
      <c r="G14" s="151"/>
      <c r="I14" s="2134" t="s">
        <v>811</v>
      </c>
      <c r="J14" s="2134"/>
      <c r="K14" s="1093">
        <f>'III.1 Landfill'!C14</f>
        <v>0</v>
      </c>
      <c r="L14" s="858">
        <v>100</v>
      </c>
      <c r="M14" s="858">
        <v>75</v>
      </c>
      <c r="N14" s="858">
        <v>100</v>
      </c>
    </row>
    <row r="15" spans="1:21" ht="13.8" thickBot="1">
      <c r="B15" s="152" t="s">
        <v>864</v>
      </c>
      <c r="C15" s="150"/>
      <c r="D15" s="150"/>
      <c r="E15" s="706">
        <f>44/12</f>
        <v>3.6666666666666665</v>
      </c>
      <c r="F15" s="150"/>
      <c r="G15" s="151"/>
      <c r="I15" s="2134" t="s">
        <v>812</v>
      </c>
      <c r="J15" s="2134"/>
      <c r="K15" s="1093">
        <f>'III.1 Landfill'!C15</f>
        <v>0</v>
      </c>
      <c r="L15" s="858">
        <v>100</v>
      </c>
      <c r="M15" s="858">
        <v>0</v>
      </c>
      <c r="N15" s="858">
        <v>0</v>
      </c>
    </row>
    <row r="16" spans="1:21" ht="15" thickBot="1">
      <c r="B16" s="152"/>
      <c r="C16" s="150"/>
      <c r="D16" s="150"/>
      <c r="E16" s="206">
        <f>E10*E11*E12*E13*E14*E15/(10^8)</f>
        <v>0</v>
      </c>
      <c r="F16" s="150" t="s">
        <v>2499</v>
      </c>
      <c r="G16" s="151"/>
      <c r="I16" s="2134" t="s">
        <v>813</v>
      </c>
      <c r="J16" s="2134"/>
      <c r="K16" s="1093">
        <f>'III.1 Landfill'!C16</f>
        <v>0</v>
      </c>
      <c r="L16" s="858">
        <v>100</v>
      </c>
      <c r="M16" s="858">
        <v>0</v>
      </c>
      <c r="N16" s="858">
        <v>0</v>
      </c>
    </row>
    <row r="17" spans="1:14" ht="14.4">
      <c r="B17" s="154" t="s">
        <v>2507</v>
      </c>
      <c r="C17" s="707" t="s">
        <v>865</v>
      </c>
      <c r="D17" s="150"/>
      <c r="E17" s="708">
        <v>60</v>
      </c>
      <c r="F17" s="155" t="s">
        <v>2500</v>
      </c>
      <c r="G17" s="151"/>
      <c r="I17" s="2134" t="s">
        <v>814</v>
      </c>
      <c r="J17" s="2134"/>
      <c r="K17" s="1093">
        <f>'III.1 Landfill'!C17</f>
        <v>0</v>
      </c>
      <c r="L17" s="858">
        <v>84</v>
      </c>
      <c r="M17" s="858">
        <v>67</v>
      </c>
      <c r="N17" s="858">
        <v>20</v>
      </c>
    </row>
    <row r="18" spans="1:14" ht="14.4">
      <c r="B18" s="152"/>
      <c r="C18" s="150"/>
      <c r="D18" s="150"/>
      <c r="E18" s="708">
        <f>E10*(E17/10^6)</f>
        <v>0</v>
      </c>
      <c r="F18" s="155" t="s">
        <v>2501</v>
      </c>
      <c r="G18" s="151"/>
      <c r="I18" s="2134" t="s">
        <v>815</v>
      </c>
      <c r="J18" s="2134"/>
      <c r="K18" s="1093">
        <f>'III.1 Landfill'!C18</f>
        <v>0</v>
      </c>
      <c r="L18" s="858">
        <v>80</v>
      </c>
      <c r="M18" s="858">
        <v>50</v>
      </c>
      <c r="N18" s="858">
        <v>20</v>
      </c>
    </row>
    <row r="19" spans="1:14" ht="15" thickBot="1">
      <c r="B19" s="156" t="s">
        <v>2496</v>
      </c>
      <c r="C19" s="150"/>
      <c r="D19" s="150"/>
      <c r="E19" s="1260">
        <f>GPC!$F$85</f>
        <v>28</v>
      </c>
      <c r="F19" s="150"/>
      <c r="G19" s="151"/>
      <c r="I19" s="2134" t="s">
        <v>816</v>
      </c>
      <c r="J19" s="2134"/>
      <c r="K19" s="1093">
        <f>'III.1 Landfill'!C19</f>
        <v>0</v>
      </c>
      <c r="L19" s="858">
        <v>40</v>
      </c>
      <c r="M19" s="858">
        <v>70</v>
      </c>
      <c r="N19" s="858">
        <v>0</v>
      </c>
    </row>
    <row r="20" spans="1:14" ht="15" thickBot="1">
      <c r="B20" s="152"/>
      <c r="C20" s="150"/>
      <c r="D20" s="150"/>
      <c r="E20" s="206">
        <f>E18*E19</f>
        <v>0</v>
      </c>
      <c r="F20" s="157" t="s">
        <v>2502</v>
      </c>
      <c r="G20" s="151"/>
      <c r="I20" s="2134" t="s">
        <v>817</v>
      </c>
      <c r="J20" s="2134"/>
      <c r="K20" s="1093">
        <f>'III.1 Landfill'!C20</f>
        <v>0</v>
      </c>
      <c r="L20" s="858">
        <v>0</v>
      </c>
      <c r="M20" s="858">
        <v>49</v>
      </c>
      <c r="N20" s="858">
        <v>0</v>
      </c>
    </row>
    <row r="21" spans="1:14" ht="14.4">
      <c r="B21" s="154" t="s">
        <v>2498</v>
      </c>
      <c r="C21" s="707" t="s">
        <v>865</v>
      </c>
      <c r="D21" s="150"/>
      <c r="E21" s="708">
        <v>60</v>
      </c>
      <c r="F21" s="155" t="s">
        <v>2503</v>
      </c>
      <c r="G21" s="151"/>
      <c r="I21" s="2134" t="s">
        <v>266</v>
      </c>
      <c r="J21" s="2134"/>
      <c r="K21" s="1093">
        <f>'III.1 Landfill'!C21</f>
        <v>0</v>
      </c>
      <c r="L21" s="858">
        <v>90</v>
      </c>
      <c r="M21" s="858">
        <v>3</v>
      </c>
      <c r="N21" s="858">
        <v>100</v>
      </c>
    </row>
    <row r="22" spans="1:14" ht="14.4">
      <c r="B22" s="152"/>
      <c r="C22" s="150"/>
      <c r="D22" s="150"/>
      <c r="E22" s="708">
        <f>E10*(E21/10^6)</f>
        <v>0</v>
      </c>
      <c r="F22" s="155" t="s">
        <v>2504</v>
      </c>
      <c r="G22" s="151"/>
      <c r="I22" s="2134" t="s">
        <v>250</v>
      </c>
      <c r="J22" s="2134"/>
      <c r="K22" s="700">
        <f>SUM(K12:K21)</f>
        <v>0</v>
      </c>
      <c r="L22" s="701">
        <f>SUMPRODUCT(K12:K21,L12:L21)/100</f>
        <v>0</v>
      </c>
      <c r="M22" s="701">
        <f>SUMPRODUCT(K12:K21,M12:M21)/100</f>
        <v>0</v>
      </c>
      <c r="N22" s="701">
        <f>SUMPRODUCT(K12:K21,N12:N21)/100</f>
        <v>0</v>
      </c>
    </row>
    <row r="23" spans="1:14" ht="15" thickBot="1">
      <c r="B23" s="156" t="s">
        <v>2497</v>
      </c>
      <c r="C23" s="150"/>
      <c r="D23" s="150"/>
      <c r="E23" s="1260">
        <f>GPC!$F$87</f>
        <v>265</v>
      </c>
      <c r="F23" s="150"/>
      <c r="G23" s="151"/>
      <c r="I23" s="695" t="s">
        <v>866</v>
      </c>
    </row>
    <row r="24" spans="1:14" ht="15" thickBot="1">
      <c r="B24" s="152"/>
      <c r="C24" s="150"/>
      <c r="D24" s="150"/>
      <c r="E24" s="206">
        <f>E22*E23</f>
        <v>0</v>
      </c>
      <c r="F24" s="155" t="s">
        <v>2505</v>
      </c>
      <c r="G24" s="151"/>
    </row>
    <row r="25" spans="1:14" ht="13.8" thickBot="1">
      <c r="B25" s="152"/>
      <c r="C25" s="150"/>
      <c r="D25" s="150"/>
      <c r="E25" s="744"/>
      <c r="F25" s="155"/>
      <c r="G25" s="151"/>
    </row>
    <row r="26" spans="1:14" ht="15" thickBot="1">
      <c r="B26" s="152" t="s">
        <v>847</v>
      </c>
      <c r="C26" s="150"/>
      <c r="D26" s="150"/>
      <c r="E26" s="206">
        <f>E16+E20+E24</f>
        <v>0</v>
      </c>
      <c r="F26" s="155" t="s">
        <v>2506</v>
      </c>
      <c r="G26" s="151"/>
    </row>
    <row r="27" spans="1:14">
      <c r="B27" s="158"/>
      <c r="C27" s="159"/>
      <c r="D27" s="159"/>
      <c r="E27" s="208"/>
      <c r="F27" s="159"/>
      <c r="G27" s="160"/>
    </row>
    <row r="29" spans="1:14">
      <c r="A29" s="702"/>
      <c r="B29" s="600" t="s">
        <v>1956</v>
      </c>
      <c r="C29" s="601"/>
      <c r="D29" s="602"/>
      <c r="E29" s="603"/>
      <c r="F29" s="602"/>
      <c r="G29" s="703"/>
    </row>
    <row r="30" spans="1:14">
      <c r="A30" s="702"/>
      <c r="B30" s="152" t="s">
        <v>851</v>
      </c>
      <c r="C30" s="150"/>
      <c r="D30" s="150"/>
      <c r="E30" s="709">
        <f>'Waste_Input DATA '!C58</f>
        <v>0</v>
      </c>
      <c r="F30" s="150" t="s">
        <v>852</v>
      </c>
      <c r="G30" s="151"/>
    </row>
    <row r="31" spans="1:14">
      <c r="A31" s="702"/>
      <c r="B31" s="152" t="s">
        <v>856</v>
      </c>
      <c r="C31" s="150"/>
      <c r="D31" s="150"/>
      <c r="E31" s="161">
        <v>0.9</v>
      </c>
      <c r="F31" s="150"/>
      <c r="G31" s="151"/>
    </row>
    <row r="32" spans="1:14">
      <c r="A32" s="702"/>
      <c r="B32" s="152" t="s">
        <v>860</v>
      </c>
      <c r="C32" s="150"/>
      <c r="D32" s="150"/>
      <c r="E32" s="161">
        <v>0.6</v>
      </c>
      <c r="F32" s="150"/>
      <c r="G32" s="151"/>
    </row>
    <row r="33" spans="1:12">
      <c r="A33" s="702"/>
      <c r="B33" s="152" t="s">
        <v>862</v>
      </c>
      <c r="C33" s="150"/>
      <c r="D33" s="150"/>
      <c r="E33" s="161">
        <v>0.4</v>
      </c>
      <c r="F33" s="150"/>
      <c r="G33" s="151"/>
    </row>
    <row r="34" spans="1:12">
      <c r="A34" s="702"/>
      <c r="B34" s="152" t="s">
        <v>863</v>
      </c>
      <c r="C34" s="150"/>
      <c r="D34" s="150"/>
      <c r="E34" s="161">
        <v>1</v>
      </c>
      <c r="F34" s="150"/>
      <c r="G34" s="151"/>
    </row>
    <row r="35" spans="1:12" ht="13.8" thickBot="1">
      <c r="A35" s="702"/>
      <c r="B35" s="152" t="s">
        <v>864</v>
      </c>
      <c r="C35" s="150"/>
      <c r="D35" s="150"/>
      <c r="E35" s="153">
        <f>44/12</f>
        <v>3.6666666666666665</v>
      </c>
      <c r="F35" s="150"/>
      <c r="G35" s="151"/>
    </row>
    <row r="36" spans="1:12" ht="15" thickBot="1">
      <c r="A36" s="702"/>
      <c r="B36" s="152"/>
      <c r="C36" s="150"/>
      <c r="D36" s="150"/>
      <c r="E36" s="206">
        <f>E30*E31*E32*E33*E34*E35</f>
        <v>0</v>
      </c>
      <c r="F36" s="150" t="s">
        <v>2499</v>
      </c>
      <c r="G36" s="151"/>
    </row>
    <row r="37" spans="1:12">
      <c r="A37" s="702"/>
      <c r="B37" s="158"/>
      <c r="C37" s="159"/>
      <c r="D37" s="159"/>
      <c r="E37" s="208"/>
      <c r="F37" s="159"/>
      <c r="G37" s="160"/>
    </row>
    <row r="39" spans="1:12">
      <c r="B39" s="600" t="s">
        <v>867</v>
      </c>
      <c r="C39" s="601"/>
      <c r="D39" s="602"/>
      <c r="E39" s="603"/>
      <c r="F39" s="602"/>
      <c r="G39" s="703"/>
      <c r="K39" s="712"/>
      <c r="L39" s="712"/>
    </row>
    <row r="40" spans="1:12">
      <c r="B40" s="152" t="s">
        <v>851</v>
      </c>
      <c r="C40" s="150"/>
      <c r="D40" s="150"/>
      <c r="E40" s="709">
        <f>'Waste_Input DATA '!C63</f>
        <v>0</v>
      </c>
      <c r="F40" s="150" t="s">
        <v>852</v>
      </c>
      <c r="G40" s="151"/>
      <c r="K40" s="713"/>
      <c r="L40" s="714"/>
    </row>
    <row r="41" spans="1:12">
      <c r="B41" s="152" t="s">
        <v>856</v>
      </c>
      <c r="C41" s="150"/>
      <c r="D41" s="150"/>
      <c r="E41" s="161">
        <v>0.9</v>
      </c>
      <c r="F41" s="150" t="s">
        <v>845</v>
      </c>
      <c r="G41" s="151"/>
      <c r="K41" s="713"/>
      <c r="L41" s="714"/>
    </row>
    <row r="42" spans="1:12">
      <c r="B42" s="152" t="s">
        <v>860</v>
      </c>
      <c r="C42" s="150"/>
      <c r="D42" s="150"/>
      <c r="E42" s="161">
        <v>0.5</v>
      </c>
      <c r="F42" s="150" t="s">
        <v>845</v>
      </c>
      <c r="G42" s="151"/>
      <c r="L42" s="714"/>
    </row>
    <row r="43" spans="1:12">
      <c r="B43" s="152" t="s">
        <v>862</v>
      </c>
      <c r="C43" s="150"/>
      <c r="D43" s="150"/>
      <c r="E43" s="161">
        <v>0.9</v>
      </c>
      <c r="F43" s="150" t="s">
        <v>845</v>
      </c>
      <c r="G43" s="151"/>
    </row>
    <row r="44" spans="1:12">
      <c r="B44" s="152" t="s">
        <v>863</v>
      </c>
      <c r="C44" s="150"/>
      <c r="D44" s="150"/>
      <c r="E44" s="161">
        <v>1</v>
      </c>
      <c r="F44" s="150" t="s">
        <v>845</v>
      </c>
      <c r="G44" s="151"/>
    </row>
    <row r="45" spans="1:12" ht="13.8" thickBot="1">
      <c r="B45" s="152" t="s">
        <v>864</v>
      </c>
      <c r="C45" s="150"/>
      <c r="D45" s="150"/>
      <c r="E45" s="153">
        <f>44/12</f>
        <v>3.6666666666666665</v>
      </c>
      <c r="F45" s="150"/>
      <c r="G45" s="151"/>
    </row>
    <row r="46" spans="1:12" ht="15" thickBot="1">
      <c r="B46" s="152"/>
      <c r="C46" s="150"/>
      <c r="D46" s="150"/>
      <c r="E46" s="206">
        <f>E40*E41*E42*E43*E44*E45</f>
        <v>0</v>
      </c>
      <c r="F46" s="150" t="s">
        <v>2499</v>
      </c>
      <c r="G46" s="151"/>
    </row>
    <row r="47" spans="1:12" ht="14.4">
      <c r="B47" s="154" t="s">
        <v>2507</v>
      </c>
      <c r="C47" s="707"/>
      <c r="D47" s="150"/>
      <c r="E47" s="207">
        <v>60</v>
      </c>
      <c r="F47" s="155" t="s">
        <v>2500</v>
      </c>
      <c r="G47" s="151"/>
    </row>
    <row r="48" spans="1:12" ht="14.4">
      <c r="B48" s="152"/>
      <c r="C48" s="150"/>
      <c r="D48" s="150"/>
      <c r="E48" s="207">
        <f>E40*(E47/10^6)</f>
        <v>0</v>
      </c>
      <c r="F48" s="155" t="s">
        <v>2501</v>
      </c>
      <c r="G48" s="151"/>
    </row>
    <row r="49" spans="1:14" ht="15" thickBot="1">
      <c r="B49" s="156" t="s">
        <v>2496</v>
      </c>
      <c r="C49" s="150"/>
      <c r="D49" s="150"/>
      <c r="E49" s="1260">
        <f>GPC!$F$85</f>
        <v>28</v>
      </c>
      <c r="F49" s="150"/>
      <c r="G49" s="151"/>
    </row>
    <row r="50" spans="1:14" ht="15" thickBot="1">
      <c r="B50" s="152"/>
      <c r="C50" s="150"/>
      <c r="D50" s="150"/>
      <c r="E50" s="206">
        <f>E48*E49</f>
        <v>0</v>
      </c>
      <c r="F50" s="157" t="s">
        <v>2502</v>
      </c>
      <c r="G50" s="151"/>
    </row>
    <row r="51" spans="1:14" ht="14.4">
      <c r="B51" s="154" t="s">
        <v>2498</v>
      </c>
      <c r="C51" s="707"/>
      <c r="D51" s="150"/>
      <c r="E51" s="207">
        <v>100</v>
      </c>
      <c r="F51" s="155" t="s">
        <v>2503</v>
      </c>
      <c r="G51" s="151"/>
    </row>
    <row r="52" spans="1:14" ht="14.4">
      <c r="B52" s="152"/>
      <c r="C52" s="150"/>
      <c r="D52" s="150"/>
      <c r="E52" s="207">
        <f>E40*(E51/10^6)</f>
        <v>0</v>
      </c>
      <c r="F52" s="155" t="s">
        <v>2504</v>
      </c>
      <c r="G52" s="151"/>
    </row>
    <row r="53" spans="1:14" ht="15" thickBot="1">
      <c r="B53" s="156" t="s">
        <v>2497</v>
      </c>
      <c r="C53" s="150"/>
      <c r="D53" s="150"/>
      <c r="E53" s="1260">
        <f>GPC!$F$87</f>
        <v>265</v>
      </c>
      <c r="F53" s="150"/>
      <c r="G53" s="151"/>
    </row>
    <row r="54" spans="1:14" ht="15" thickBot="1">
      <c r="B54" s="152"/>
      <c r="C54" s="150"/>
      <c r="D54" s="150"/>
      <c r="E54" s="206">
        <f>E52*E53</f>
        <v>0</v>
      </c>
      <c r="F54" s="155" t="s">
        <v>2505</v>
      </c>
      <c r="G54" s="151"/>
    </row>
    <row r="55" spans="1:14" ht="13.8" thickBot="1">
      <c r="B55" s="152"/>
      <c r="C55" s="150"/>
      <c r="D55" s="150"/>
      <c r="E55" s="604"/>
      <c r="F55" s="155"/>
      <c r="G55" s="151"/>
    </row>
    <row r="56" spans="1:14" ht="15" thickBot="1">
      <c r="B56" s="152" t="s">
        <v>847</v>
      </c>
      <c r="C56" s="150"/>
      <c r="D56" s="150"/>
      <c r="E56" s="206">
        <f>E46+E50+E54</f>
        <v>0</v>
      </c>
      <c r="F56" s="155" t="s">
        <v>2506</v>
      </c>
      <c r="G56" s="151"/>
    </row>
    <row r="57" spans="1:14">
      <c r="B57" s="158"/>
      <c r="C57" s="159"/>
      <c r="D57" s="159"/>
      <c r="E57" s="208"/>
      <c r="F57" s="159"/>
      <c r="G57" s="160"/>
    </row>
    <row r="59" spans="1:14" s="99" customFormat="1">
      <c r="A59" s="715" t="s">
        <v>1958</v>
      </c>
      <c r="B59" s="716"/>
      <c r="C59" s="717"/>
      <c r="D59" s="717"/>
      <c r="E59" s="718"/>
      <c r="F59" s="718"/>
      <c r="G59" s="718"/>
      <c r="H59" s="718"/>
      <c r="I59" s="718"/>
      <c r="J59" s="718"/>
      <c r="K59" s="718"/>
      <c r="L59" s="718"/>
      <c r="M59" s="718"/>
      <c r="N59" s="718"/>
    </row>
    <row r="61" spans="1:14">
      <c r="B61" s="600" t="s">
        <v>849</v>
      </c>
      <c r="C61" s="601"/>
      <c r="D61" s="602"/>
      <c r="E61" s="603"/>
      <c r="F61" s="602"/>
      <c r="G61" s="703"/>
      <c r="I61" s="696" t="s">
        <v>850</v>
      </c>
      <c r="J61" s="696"/>
      <c r="K61" s="696"/>
      <c r="L61" s="2133" t="s">
        <v>855</v>
      </c>
      <c r="M61" s="2133"/>
      <c r="N61" s="2133"/>
    </row>
    <row r="62" spans="1:14" ht="13.35" customHeight="1">
      <c r="B62" s="152" t="s">
        <v>851</v>
      </c>
      <c r="C62" s="150"/>
      <c r="D62" s="150"/>
      <c r="E62" s="704">
        <f>'Waste_Input DATA '!E81</f>
        <v>0</v>
      </c>
      <c r="F62" s="150" t="s">
        <v>852</v>
      </c>
      <c r="G62" s="151"/>
      <c r="I62" s="2135" t="s">
        <v>853</v>
      </c>
      <c r="J62" s="2136"/>
      <c r="K62" s="1201" t="s">
        <v>854</v>
      </c>
      <c r="L62" s="697" t="s">
        <v>857</v>
      </c>
      <c r="M62" s="858" t="s">
        <v>858</v>
      </c>
      <c r="N62" s="858" t="s">
        <v>859</v>
      </c>
    </row>
    <row r="63" spans="1:14">
      <c r="B63" s="152" t="s">
        <v>856</v>
      </c>
      <c r="C63" s="150"/>
      <c r="D63" s="150"/>
      <c r="E63" s="705">
        <f>L74</f>
        <v>0</v>
      </c>
      <c r="F63" s="150" t="s">
        <v>845</v>
      </c>
      <c r="G63" s="151"/>
      <c r="I63" s="2137"/>
      <c r="J63" s="2138"/>
      <c r="K63" s="698" t="s">
        <v>861</v>
      </c>
      <c r="L63" s="858" t="s">
        <v>861</v>
      </c>
      <c r="M63" s="858" t="s">
        <v>861</v>
      </c>
      <c r="N63" s="858" t="s">
        <v>861</v>
      </c>
    </row>
    <row r="64" spans="1:14">
      <c r="B64" s="152" t="s">
        <v>860</v>
      </c>
      <c r="C64" s="150"/>
      <c r="D64" s="150"/>
      <c r="E64" s="705">
        <f>M74</f>
        <v>0</v>
      </c>
      <c r="F64" s="150" t="s">
        <v>845</v>
      </c>
      <c r="G64" s="151"/>
      <c r="I64" s="2134" t="s">
        <v>809</v>
      </c>
      <c r="J64" s="2134"/>
      <c r="K64" s="1093"/>
      <c r="L64" s="858">
        <v>40</v>
      </c>
      <c r="M64" s="858">
        <v>38</v>
      </c>
      <c r="N64" s="858">
        <v>0</v>
      </c>
    </row>
    <row r="65" spans="2:14">
      <c r="B65" s="152" t="s">
        <v>862</v>
      </c>
      <c r="C65" s="150"/>
      <c r="D65" s="150"/>
      <c r="E65" s="705">
        <f>N74</f>
        <v>0</v>
      </c>
      <c r="F65" s="150" t="s">
        <v>845</v>
      </c>
      <c r="G65" s="151"/>
      <c r="I65" s="2134" t="s">
        <v>810</v>
      </c>
      <c r="J65" s="2134"/>
      <c r="K65" s="1093"/>
      <c r="L65" s="858">
        <v>90</v>
      </c>
      <c r="M65" s="858">
        <v>46</v>
      </c>
      <c r="N65" s="858">
        <v>1</v>
      </c>
    </row>
    <row r="66" spans="2:14">
      <c r="B66" s="152" t="s">
        <v>863</v>
      </c>
      <c r="C66" s="150"/>
      <c r="D66" s="150"/>
      <c r="E66" s="705">
        <v>58</v>
      </c>
      <c r="F66" s="150" t="s">
        <v>845</v>
      </c>
      <c r="G66" s="151"/>
      <c r="I66" s="2134" t="s">
        <v>811</v>
      </c>
      <c r="J66" s="2134"/>
      <c r="K66" s="1093"/>
      <c r="L66" s="858">
        <v>100</v>
      </c>
      <c r="M66" s="858">
        <v>75</v>
      </c>
      <c r="N66" s="858">
        <v>100</v>
      </c>
    </row>
    <row r="67" spans="2:14" ht="13.8" thickBot="1">
      <c r="B67" s="152" t="s">
        <v>864</v>
      </c>
      <c r="C67" s="150"/>
      <c r="D67" s="150"/>
      <c r="E67" s="706">
        <f>44/12</f>
        <v>3.6666666666666665</v>
      </c>
      <c r="F67" s="150"/>
      <c r="G67" s="151"/>
      <c r="I67" s="2134" t="s">
        <v>812</v>
      </c>
      <c r="J67" s="2134"/>
      <c r="K67" s="1093"/>
      <c r="L67" s="858">
        <v>100</v>
      </c>
      <c r="M67" s="858">
        <v>0</v>
      </c>
      <c r="N67" s="858">
        <v>0</v>
      </c>
    </row>
    <row r="68" spans="2:14" ht="15" thickBot="1">
      <c r="B68" s="152"/>
      <c r="C68" s="150"/>
      <c r="D68" s="150"/>
      <c r="E68" s="206">
        <f>E62*E63*E64*E65*E66*E67/(10^8)</f>
        <v>0</v>
      </c>
      <c r="F68" s="150" t="s">
        <v>2499</v>
      </c>
      <c r="G68" s="151"/>
      <c r="I68" s="2134" t="s">
        <v>813</v>
      </c>
      <c r="J68" s="2134"/>
      <c r="K68" s="1093"/>
      <c r="L68" s="858">
        <v>100</v>
      </c>
      <c r="M68" s="858">
        <v>0</v>
      </c>
      <c r="N68" s="858">
        <v>0</v>
      </c>
    </row>
    <row r="69" spans="2:14" ht="14.4">
      <c r="B69" s="154" t="s">
        <v>2507</v>
      </c>
      <c r="C69" s="707" t="s">
        <v>865</v>
      </c>
      <c r="D69" s="150"/>
      <c r="E69" s="708">
        <v>60</v>
      </c>
      <c r="F69" s="155" t="s">
        <v>2500</v>
      </c>
      <c r="G69" s="151"/>
      <c r="I69" s="2134" t="s">
        <v>814</v>
      </c>
      <c r="J69" s="2134"/>
      <c r="K69" s="1093"/>
      <c r="L69" s="858">
        <v>84</v>
      </c>
      <c r="M69" s="858">
        <v>67</v>
      </c>
      <c r="N69" s="858">
        <v>20</v>
      </c>
    </row>
    <row r="70" spans="2:14" ht="14.4">
      <c r="B70" s="152"/>
      <c r="C70" s="150"/>
      <c r="D70" s="150"/>
      <c r="E70" s="708">
        <f>E62*(E69/10^6)</f>
        <v>0</v>
      </c>
      <c r="F70" s="155" t="s">
        <v>2501</v>
      </c>
      <c r="G70" s="151"/>
      <c r="I70" s="2134" t="s">
        <v>815</v>
      </c>
      <c r="J70" s="2134"/>
      <c r="K70" s="1093"/>
      <c r="L70" s="858">
        <v>80</v>
      </c>
      <c r="M70" s="858">
        <v>50</v>
      </c>
      <c r="N70" s="858">
        <v>20</v>
      </c>
    </row>
    <row r="71" spans="2:14" ht="15" thickBot="1">
      <c r="B71" s="156" t="s">
        <v>2496</v>
      </c>
      <c r="C71" s="150"/>
      <c r="D71" s="150"/>
      <c r="E71" s="1260">
        <f>GPC!$F$85</f>
        <v>28</v>
      </c>
      <c r="F71" s="150"/>
      <c r="G71" s="151"/>
      <c r="I71" s="2134" t="s">
        <v>816</v>
      </c>
      <c r="J71" s="2134"/>
      <c r="K71" s="1093"/>
      <c r="L71" s="858">
        <v>40</v>
      </c>
      <c r="M71" s="858">
        <v>70</v>
      </c>
      <c r="N71" s="858">
        <v>0</v>
      </c>
    </row>
    <row r="72" spans="2:14" ht="15" thickBot="1">
      <c r="B72" s="152"/>
      <c r="C72" s="150"/>
      <c r="D72" s="150"/>
      <c r="E72" s="206">
        <f>E70*E71</f>
        <v>0</v>
      </c>
      <c r="F72" s="157" t="s">
        <v>2502</v>
      </c>
      <c r="G72" s="151"/>
      <c r="I72" s="2134" t="s">
        <v>817</v>
      </c>
      <c r="J72" s="2134"/>
      <c r="K72" s="1093"/>
      <c r="L72" s="858">
        <v>0</v>
      </c>
      <c r="M72" s="858">
        <v>49</v>
      </c>
      <c r="N72" s="858">
        <v>0</v>
      </c>
    </row>
    <row r="73" spans="2:14" ht="14.4">
      <c r="B73" s="154" t="s">
        <v>2498</v>
      </c>
      <c r="C73" s="707" t="s">
        <v>865</v>
      </c>
      <c r="D73" s="150"/>
      <c r="E73" s="708">
        <v>60</v>
      </c>
      <c r="F73" s="155" t="s">
        <v>2503</v>
      </c>
      <c r="G73" s="151"/>
      <c r="I73" s="2134" t="s">
        <v>266</v>
      </c>
      <c r="J73" s="2134"/>
      <c r="K73" s="1093"/>
      <c r="L73" s="858">
        <v>90</v>
      </c>
      <c r="M73" s="858">
        <v>3</v>
      </c>
      <c r="N73" s="858">
        <v>100</v>
      </c>
    </row>
    <row r="74" spans="2:14" ht="14.4">
      <c r="B74" s="152"/>
      <c r="C74" s="150"/>
      <c r="D74" s="150"/>
      <c r="E74" s="708">
        <f>E62*(E73/10^6)</f>
        <v>0</v>
      </c>
      <c r="F74" s="155" t="s">
        <v>2504</v>
      </c>
      <c r="G74" s="151"/>
      <c r="I74" s="2134" t="s">
        <v>250</v>
      </c>
      <c r="J74" s="2134"/>
      <c r="K74" s="700">
        <f>SUM(K64:K73)</f>
        <v>0</v>
      </c>
      <c r="L74" s="701">
        <f>SUMPRODUCT(K64:K73,L64:L73)/100</f>
        <v>0</v>
      </c>
      <c r="M74" s="701">
        <f>SUMPRODUCT(K64:K73,M64:M73)/100</f>
        <v>0</v>
      </c>
      <c r="N74" s="701">
        <f>SUMPRODUCT(K64:K73,N64:N73)/100</f>
        <v>0</v>
      </c>
    </row>
    <row r="75" spans="2:14" ht="15" thickBot="1">
      <c r="B75" s="156" t="s">
        <v>2497</v>
      </c>
      <c r="C75" s="150"/>
      <c r="D75" s="150"/>
      <c r="E75" s="1260">
        <f>GPC!$F$87</f>
        <v>265</v>
      </c>
      <c r="F75" s="150"/>
      <c r="G75" s="151"/>
      <c r="I75" s="695" t="s">
        <v>866</v>
      </c>
    </row>
    <row r="76" spans="2:14" ht="15" thickBot="1">
      <c r="B76" s="152"/>
      <c r="C76" s="150"/>
      <c r="D76" s="150"/>
      <c r="E76" s="206">
        <f>E74*E75</f>
        <v>0</v>
      </c>
      <c r="F76" s="155" t="s">
        <v>2505</v>
      </c>
      <c r="G76" s="151"/>
    </row>
    <row r="77" spans="2:14" ht="13.8" thickBot="1">
      <c r="B77" s="152"/>
      <c r="C77" s="150"/>
      <c r="D77" s="150"/>
      <c r="E77" s="744"/>
      <c r="F77" s="155"/>
      <c r="G77" s="151"/>
    </row>
    <row r="78" spans="2:14" ht="15" thickBot="1">
      <c r="B78" s="152" t="s">
        <v>847</v>
      </c>
      <c r="C78" s="150"/>
      <c r="D78" s="150"/>
      <c r="E78" s="206">
        <f>E68+E72+E76</f>
        <v>0</v>
      </c>
      <c r="F78" s="155" t="s">
        <v>2506</v>
      </c>
      <c r="G78" s="151"/>
    </row>
    <row r="79" spans="2:14">
      <c r="B79" s="158"/>
      <c r="C79" s="159"/>
      <c r="D79" s="159"/>
      <c r="E79" s="208"/>
      <c r="F79" s="159"/>
      <c r="G79" s="160"/>
    </row>
    <row r="81" spans="1:12">
      <c r="A81" s="702"/>
      <c r="B81" s="600" t="s">
        <v>1956</v>
      </c>
      <c r="C81" s="601"/>
      <c r="D81" s="602"/>
      <c r="E81" s="603"/>
      <c r="F81" s="602"/>
      <c r="G81" s="703"/>
    </row>
    <row r="82" spans="1:12">
      <c r="A82" s="702"/>
      <c r="B82" s="152" t="s">
        <v>851</v>
      </c>
      <c r="C82" s="150"/>
      <c r="D82" s="150"/>
      <c r="E82" s="709">
        <f>'Waste_Input DATA '!C86</f>
        <v>0</v>
      </c>
      <c r="F82" s="150" t="s">
        <v>852</v>
      </c>
      <c r="G82" s="151"/>
    </row>
    <row r="83" spans="1:12">
      <c r="A83" s="702"/>
      <c r="B83" s="152" t="s">
        <v>856</v>
      </c>
      <c r="C83" s="150"/>
      <c r="D83" s="150"/>
      <c r="E83" s="161">
        <v>0.9</v>
      </c>
      <c r="F83" s="150"/>
      <c r="G83" s="151"/>
    </row>
    <row r="84" spans="1:12">
      <c r="A84" s="702"/>
      <c r="B84" s="152" t="s">
        <v>860</v>
      </c>
      <c r="C84" s="150"/>
      <c r="D84" s="150"/>
      <c r="E84" s="161">
        <v>0.6</v>
      </c>
      <c r="F84" s="150"/>
      <c r="G84" s="151"/>
    </row>
    <row r="85" spans="1:12">
      <c r="A85" s="702"/>
      <c r="B85" s="152" t="s">
        <v>862</v>
      </c>
      <c r="C85" s="150"/>
      <c r="D85" s="150"/>
      <c r="E85" s="161">
        <v>0.4</v>
      </c>
      <c r="F85" s="150"/>
      <c r="G85" s="151"/>
    </row>
    <row r="86" spans="1:12">
      <c r="A86" s="702"/>
      <c r="B86" s="152" t="s">
        <v>863</v>
      </c>
      <c r="C86" s="150"/>
      <c r="D86" s="150"/>
      <c r="E86" s="161">
        <v>1</v>
      </c>
      <c r="F86" s="150"/>
      <c r="G86" s="151"/>
    </row>
    <row r="87" spans="1:12" ht="13.8" thickBot="1">
      <c r="A87" s="702"/>
      <c r="B87" s="152" t="s">
        <v>864</v>
      </c>
      <c r="C87" s="150"/>
      <c r="D87" s="150"/>
      <c r="E87" s="153">
        <f>44/12</f>
        <v>3.6666666666666665</v>
      </c>
      <c r="F87" s="150"/>
      <c r="G87" s="151"/>
    </row>
    <row r="88" spans="1:12" ht="15" thickBot="1">
      <c r="A88" s="702"/>
      <c r="B88" s="152"/>
      <c r="C88" s="150"/>
      <c r="D88" s="150"/>
      <c r="E88" s="206">
        <f>E82*E83*E84*E85*E86*E87</f>
        <v>0</v>
      </c>
      <c r="F88" s="150" t="s">
        <v>2499</v>
      </c>
      <c r="G88" s="151"/>
    </row>
    <row r="89" spans="1:12">
      <c r="A89" s="702"/>
      <c r="B89" s="158"/>
      <c r="C89" s="159"/>
      <c r="D89" s="159"/>
      <c r="E89" s="208"/>
      <c r="F89" s="159"/>
      <c r="G89" s="160"/>
    </row>
    <row r="91" spans="1:12">
      <c r="B91" s="600" t="s">
        <v>867</v>
      </c>
      <c r="C91" s="601"/>
      <c r="D91" s="602"/>
      <c r="E91" s="603"/>
      <c r="F91" s="602"/>
      <c r="G91" s="703"/>
      <c r="K91" s="712"/>
      <c r="L91" s="712"/>
    </row>
    <row r="92" spans="1:12">
      <c r="B92" s="152" t="s">
        <v>851</v>
      </c>
      <c r="C92" s="150"/>
      <c r="D92" s="150"/>
      <c r="E92" s="709">
        <f>'Waste_Input DATA '!C91</f>
        <v>0</v>
      </c>
      <c r="F92" s="150" t="s">
        <v>852</v>
      </c>
      <c r="G92" s="151"/>
      <c r="K92" s="713"/>
      <c r="L92" s="714"/>
    </row>
    <row r="93" spans="1:12">
      <c r="B93" s="152" t="s">
        <v>856</v>
      </c>
      <c r="C93" s="150"/>
      <c r="D93" s="150"/>
      <c r="E93" s="161">
        <v>0.9</v>
      </c>
      <c r="F93" s="150" t="s">
        <v>845</v>
      </c>
      <c r="G93" s="151"/>
      <c r="K93" s="713"/>
      <c r="L93" s="714"/>
    </row>
    <row r="94" spans="1:12">
      <c r="B94" s="152" t="s">
        <v>860</v>
      </c>
      <c r="C94" s="150"/>
      <c r="D94" s="150"/>
      <c r="E94" s="161">
        <v>0.5</v>
      </c>
      <c r="F94" s="150" t="s">
        <v>845</v>
      </c>
      <c r="G94" s="151"/>
      <c r="L94" s="714"/>
    </row>
    <row r="95" spans="1:12">
      <c r="B95" s="152" t="s">
        <v>862</v>
      </c>
      <c r="C95" s="150"/>
      <c r="D95" s="150"/>
      <c r="E95" s="161">
        <v>0.9</v>
      </c>
      <c r="F95" s="150" t="s">
        <v>845</v>
      </c>
      <c r="G95" s="151"/>
    </row>
    <row r="96" spans="1:12">
      <c r="B96" s="152" t="s">
        <v>863</v>
      </c>
      <c r="C96" s="150"/>
      <c r="D96" s="150"/>
      <c r="E96" s="161">
        <v>1</v>
      </c>
      <c r="F96" s="150" t="s">
        <v>845</v>
      </c>
      <c r="G96" s="151"/>
    </row>
    <row r="97" spans="1:14" ht="13.8" thickBot="1">
      <c r="B97" s="152" t="s">
        <v>864</v>
      </c>
      <c r="C97" s="150"/>
      <c r="D97" s="150"/>
      <c r="E97" s="153">
        <f>44/12</f>
        <v>3.6666666666666665</v>
      </c>
      <c r="F97" s="150"/>
      <c r="G97" s="151"/>
    </row>
    <row r="98" spans="1:14" ht="15" thickBot="1">
      <c r="B98" s="152"/>
      <c r="C98" s="150"/>
      <c r="D98" s="150"/>
      <c r="E98" s="206">
        <f>E92*E93*E94*E95*E96*E97</f>
        <v>0</v>
      </c>
      <c r="F98" s="150" t="s">
        <v>2499</v>
      </c>
      <c r="G98" s="151"/>
    </row>
    <row r="99" spans="1:14" ht="14.4">
      <c r="B99" s="154" t="s">
        <v>2507</v>
      </c>
      <c r="C99" s="707"/>
      <c r="D99" s="150"/>
      <c r="E99" s="207">
        <v>60</v>
      </c>
      <c r="F99" s="155" t="s">
        <v>2500</v>
      </c>
      <c r="G99" s="151"/>
    </row>
    <row r="100" spans="1:14" ht="14.4">
      <c r="B100" s="152"/>
      <c r="C100" s="150"/>
      <c r="D100" s="150"/>
      <c r="E100" s="207">
        <f>E92*(E99/10^6)</f>
        <v>0</v>
      </c>
      <c r="F100" s="155" t="s">
        <v>2501</v>
      </c>
      <c r="G100" s="151"/>
    </row>
    <row r="101" spans="1:14" ht="15" thickBot="1">
      <c r="B101" s="156" t="s">
        <v>2496</v>
      </c>
      <c r="C101" s="150"/>
      <c r="D101" s="150"/>
      <c r="E101" s="1260">
        <f>GPC!$F$85</f>
        <v>28</v>
      </c>
      <c r="F101" s="150"/>
      <c r="G101" s="151"/>
    </row>
    <row r="102" spans="1:14" ht="15" thickBot="1">
      <c r="B102" s="152"/>
      <c r="C102" s="150"/>
      <c r="D102" s="150"/>
      <c r="E102" s="206">
        <f>E100*E101</f>
        <v>0</v>
      </c>
      <c r="F102" s="157" t="s">
        <v>2502</v>
      </c>
      <c r="G102" s="151"/>
    </row>
    <row r="103" spans="1:14" ht="14.4">
      <c r="B103" s="154" t="s">
        <v>2498</v>
      </c>
      <c r="C103" s="707"/>
      <c r="D103" s="150"/>
      <c r="E103" s="207">
        <v>100</v>
      </c>
      <c r="F103" s="155" t="s">
        <v>2503</v>
      </c>
      <c r="G103" s="151"/>
    </row>
    <row r="104" spans="1:14" ht="14.4">
      <c r="B104" s="152"/>
      <c r="C104" s="150"/>
      <c r="D104" s="150"/>
      <c r="E104" s="207">
        <f>E92*(E103/10^6)</f>
        <v>0</v>
      </c>
      <c r="F104" s="155" t="s">
        <v>2504</v>
      </c>
      <c r="G104" s="151"/>
    </row>
    <row r="105" spans="1:14" ht="15" thickBot="1">
      <c r="B105" s="156" t="s">
        <v>2497</v>
      </c>
      <c r="C105" s="150"/>
      <c r="D105" s="150"/>
      <c r="E105" s="1260">
        <f>GPC!$F$87</f>
        <v>265</v>
      </c>
      <c r="F105" s="150"/>
      <c r="G105" s="151"/>
    </row>
    <row r="106" spans="1:14" ht="15" thickBot="1">
      <c r="B106" s="152"/>
      <c r="C106" s="150"/>
      <c r="D106" s="150"/>
      <c r="E106" s="206">
        <f>E104*E105</f>
        <v>0</v>
      </c>
      <c r="F106" s="155" t="s">
        <v>2505</v>
      </c>
      <c r="G106" s="151"/>
    </row>
    <row r="107" spans="1:14" ht="13.8" thickBot="1">
      <c r="B107" s="152"/>
      <c r="C107" s="150"/>
      <c r="D107" s="150"/>
      <c r="E107" s="604"/>
      <c r="F107" s="155"/>
      <c r="G107" s="151"/>
    </row>
    <row r="108" spans="1:14" ht="15" thickBot="1">
      <c r="B108" s="152" t="s">
        <v>847</v>
      </c>
      <c r="C108" s="150"/>
      <c r="D108" s="150"/>
      <c r="E108" s="206">
        <f>E98+E102+E106</f>
        <v>0</v>
      </c>
      <c r="F108" s="155" t="s">
        <v>2506</v>
      </c>
      <c r="G108" s="151"/>
    </row>
    <row r="109" spans="1:14">
      <c r="B109" s="158"/>
      <c r="C109" s="159"/>
      <c r="D109" s="159"/>
      <c r="E109" s="208"/>
      <c r="F109" s="159"/>
      <c r="G109" s="160"/>
    </row>
    <row r="111" spans="1:14" s="99" customFormat="1">
      <c r="A111" s="715" t="s">
        <v>1960</v>
      </c>
      <c r="B111" s="716"/>
      <c r="C111" s="717"/>
      <c r="D111" s="717"/>
      <c r="E111" s="718"/>
      <c r="F111" s="718"/>
      <c r="G111" s="718"/>
      <c r="H111" s="718"/>
      <c r="I111" s="718"/>
      <c r="J111" s="718"/>
      <c r="K111" s="718"/>
      <c r="L111" s="718"/>
      <c r="M111" s="718"/>
      <c r="N111" s="718"/>
    </row>
    <row r="113" spans="2:14">
      <c r="B113" s="600" t="s">
        <v>849</v>
      </c>
      <c r="C113" s="601"/>
      <c r="D113" s="602"/>
      <c r="E113" s="603"/>
      <c r="F113" s="602"/>
      <c r="G113" s="703"/>
      <c r="I113" s="696" t="s">
        <v>850</v>
      </c>
      <c r="J113" s="696"/>
      <c r="K113" s="696"/>
      <c r="L113" s="2133" t="s">
        <v>855</v>
      </c>
      <c r="M113" s="2133"/>
      <c r="N113" s="2133"/>
    </row>
    <row r="114" spans="2:14" ht="13.35" customHeight="1">
      <c r="B114" s="152" t="s">
        <v>851</v>
      </c>
      <c r="C114" s="150"/>
      <c r="D114" s="150"/>
      <c r="E114" s="704">
        <f>'Waste_Input DATA '!E109</f>
        <v>0</v>
      </c>
      <c r="F114" s="150" t="s">
        <v>852</v>
      </c>
      <c r="G114" s="151"/>
      <c r="I114" s="2135" t="s">
        <v>853</v>
      </c>
      <c r="J114" s="2136"/>
      <c r="K114" s="1776" t="s">
        <v>854</v>
      </c>
      <c r="L114" s="697" t="s">
        <v>857</v>
      </c>
      <c r="M114" s="858" t="s">
        <v>858</v>
      </c>
      <c r="N114" s="858" t="s">
        <v>859</v>
      </c>
    </row>
    <row r="115" spans="2:14">
      <c r="B115" s="152" t="s">
        <v>856</v>
      </c>
      <c r="C115" s="150"/>
      <c r="D115" s="150"/>
      <c r="E115" s="705">
        <f>L126</f>
        <v>0</v>
      </c>
      <c r="F115" s="150" t="s">
        <v>845</v>
      </c>
      <c r="G115" s="151"/>
      <c r="I115" s="2137"/>
      <c r="J115" s="2138"/>
      <c r="K115" s="698" t="s">
        <v>861</v>
      </c>
      <c r="L115" s="858" t="s">
        <v>861</v>
      </c>
      <c r="M115" s="858" t="s">
        <v>861</v>
      </c>
      <c r="N115" s="858" t="s">
        <v>861</v>
      </c>
    </row>
    <row r="116" spans="2:14">
      <c r="B116" s="152" t="s">
        <v>860</v>
      </c>
      <c r="C116" s="150"/>
      <c r="D116" s="150"/>
      <c r="E116" s="705">
        <f>M126</f>
        <v>0</v>
      </c>
      <c r="F116" s="150" t="s">
        <v>845</v>
      </c>
      <c r="G116" s="151"/>
      <c r="I116" s="2134" t="s">
        <v>809</v>
      </c>
      <c r="J116" s="2134"/>
      <c r="K116" s="1093"/>
      <c r="L116" s="858">
        <v>40</v>
      </c>
      <c r="M116" s="858">
        <v>38</v>
      </c>
      <c r="N116" s="858">
        <v>0</v>
      </c>
    </row>
    <row r="117" spans="2:14">
      <c r="B117" s="152" t="s">
        <v>862</v>
      </c>
      <c r="C117" s="150"/>
      <c r="D117" s="150"/>
      <c r="E117" s="705">
        <f>N126</f>
        <v>0</v>
      </c>
      <c r="F117" s="150" t="s">
        <v>845</v>
      </c>
      <c r="G117" s="151"/>
      <c r="I117" s="2134" t="s">
        <v>810</v>
      </c>
      <c r="J117" s="2134"/>
      <c r="K117" s="1093"/>
      <c r="L117" s="858">
        <v>90</v>
      </c>
      <c r="M117" s="858">
        <v>46</v>
      </c>
      <c r="N117" s="858">
        <v>1</v>
      </c>
    </row>
    <row r="118" spans="2:14">
      <c r="B118" s="152" t="s">
        <v>863</v>
      </c>
      <c r="C118" s="150"/>
      <c r="D118" s="150"/>
      <c r="E118" s="705">
        <v>58</v>
      </c>
      <c r="F118" s="150" t="s">
        <v>845</v>
      </c>
      <c r="G118" s="151"/>
      <c r="I118" s="2134" t="s">
        <v>811</v>
      </c>
      <c r="J118" s="2134"/>
      <c r="K118" s="1093"/>
      <c r="L118" s="858">
        <v>100</v>
      </c>
      <c r="M118" s="858">
        <v>75</v>
      </c>
      <c r="N118" s="858">
        <v>100</v>
      </c>
    </row>
    <row r="119" spans="2:14" ht="13.8" thickBot="1">
      <c r="B119" s="152" t="s">
        <v>864</v>
      </c>
      <c r="C119" s="150"/>
      <c r="D119" s="150"/>
      <c r="E119" s="706">
        <f>44/12</f>
        <v>3.6666666666666665</v>
      </c>
      <c r="F119" s="150"/>
      <c r="G119" s="151"/>
      <c r="I119" s="2134" t="s">
        <v>812</v>
      </c>
      <c r="J119" s="2134"/>
      <c r="K119" s="1093"/>
      <c r="L119" s="858">
        <v>100</v>
      </c>
      <c r="M119" s="858">
        <v>0</v>
      </c>
      <c r="N119" s="858">
        <v>0</v>
      </c>
    </row>
    <row r="120" spans="2:14" ht="15" thickBot="1">
      <c r="B120" s="152"/>
      <c r="C120" s="150"/>
      <c r="D120" s="150"/>
      <c r="E120" s="206">
        <f>E114*E115*E116*E117*E118*E119/(10^8)</f>
        <v>0</v>
      </c>
      <c r="F120" s="150" t="s">
        <v>2499</v>
      </c>
      <c r="G120" s="151"/>
      <c r="I120" s="2134" t="s">
        <v>813</v>
      </c>
      <c r="J120" s="2134"/>
      <c r="K120" s="1093"/>
      <c r="L120" s="858">
        <v>100</v>
      </c>
      <c r="M120" s="858">
        <v>0</v>
      </c>
      <c r="N120" s="858">
        <v>0</v>
      </c>
    </row>
    <row r="121" spans="2:14" ht="14.4">
      <c r="B121" s="154" t="s">
        <v>2507</v>
      </c>
      <c r="C121" s="707" t="s">
        <v>865</v>
      </c>
      <c r="D121" s="150"/>
      <c r="E121" s="708">
        <v>60</v>
      </c>
      <c r="F121" s="155" t="s">
        <v>2500</v>
      </c>
      <c r="G121" s="151"/>
      <c r="I121" s="2134" t="s">
        <v>814</v>
      </c>
      <c r="J121" s="2134"/>
      <c r="K121" s="1093"/>
      <c r="L121" s="858">
        <v>84</v>
      </c>
      <c r="M121" s="858">
        <v>67</v>
      </c>
      <c r="N121" s="858">
        <v>20</v>
      </c>
    </row>
    <row r="122" spans="2:14" ht="14.4">
      <c r="B122" s="152"/>
      <c r="C122" s="150"/>
      <c r="D122" s="150"/>
      <c r="E122" s="708">
        <f>E114*(E121/10^6)</f>
        <v>0</v>
      </c>
      <c r="F122" s="155" t="s">
        <v>2501</v>
      </c>
      <c r="G122" s="151"/>
      <c r="I122" s="2134" t="s">
        <v>815</v>
      </c>
      <c r="J122" s="2134"/>
      <c r="K122" s="1093"/>
      <c r="L122" s="858">
        <v>80</v>
      </c>
      <c r="M122" s="858">
        <v>50</v>
      </c>
      <c r="N122" s="858">
        <v>20</v>
      </c>
    </row>
    <row r="123" spans="2:14" ht="15" thickBot="1">
      <c r="B123" s="156" t="s">
        <v>2496</v>
      </c>
      <c r="C123" s="150"/>
      <c r="D123" s="150"/>
      <c r="E123" s="1260">
        <f>GPC!$F$85</f>
        <v>28</v>
      </c>
      <c r="F123" s="150"/>
      <c r="G123" s="151"/>
      <c r="I123" s="2134" t="s">
        <v>816</v>
      </c>
      <c r="J123" s="2134"/>
      <c r="K123" s="1093"/>
      <c r="L123" s="858">
        <v>40</v>
      </c>
      <c r="M123" s="858">
        <v>70</v>
      </c>
      <c r="N123" s="858">
        <v>0</v>
      </c>
    </row>
    <row r="124" spans="2:14" ht="15" thickBot="1">
      <c r="B124" s="152"/>
      <c r="C124" s="150"/>
      <c r="D124" s="150"/>
      <c r="E124" s="206">
        <f>E122*E123</f>
        <v>0</v>
      </c>
      <c r="F124" s="157" t="s">
        <v>2502</v>
      </c>
      <c r="G124" s="151"/>
      <c r="I124" s="2134" t="s">
        <v>817</v>
      </c>
      <c r="J124" s="2134"/>
      <c r="K124" s="1093"/>
      <c r="L124" s="858">
        <v>0</v>
      </c>
      <c r="M124" s="858">
        <v>49</v>
      </c>
      <c r="N124" s="858">
        <v>0</v>
      </c>
    </row>
    <row r="125" spans="2:14" ht="14.4">
      <c r="B125" s="154" t="s">
        <v>2498</v>
      </c>
      <c r="C125" s="707" t="s">
        <v>865</v>
      </c>
      <c r="D125" s="150"/>
      <c r="E125" s="708">
        <v>60</v>
      </c>
      <c r="F125" s="155" t="s">
        <v>2503</v>
      </c>
      <c r="G125" s="151"/>
      <c r="I125" s="2134" t="s">
        <v>266</v>
      </c>
      <c r="J125" s="2134"/>
      <c r="K125" s="1093"/>
      <c r="L125" s="858">
        <v>90</v>
      </c>
      <c r="M125" s="858">
        <v>3</v>
      </c>
      <c r="N125" s="858">
        <v>100</v>
      </c>
    </row>
    <row r="126" spans="2:14" ht="14.4">
      <c r="B126" s="152"/>
      <c r="C126" s="150"/>
      <c r="D126" s="150"/>
      <c r="E126" s="708">
        <f>E114*(E125/10^6)</f>
        <v>0</v>
      </c>
      <c r="F126" s="155" t="s">
        <v>2504</v>
      </c>
      <c r="G126" s="151"/>
      <c r="I126" s="2134" t="s">
        <v>250</v>
      </c>
      <c r="J126" s="2134"/>
      <c r="K126" s="700">
        <f>SUM(K116:K125)</f>
        <v>0</v>
      </c>
      <c r="L126" s="701">
        <f>SUMPRODUCT(K116:K125,L116:L125)/100</f>
        <v>0</v>
      </c>
      <c r="M126" s="701">
        <f>SUMPRODUCT(K116:K125,M116:M125)/100</f>
        <v>0</v>
      </c>
      <c r="N126" s="701">
        <f>SUMPRODUCT(K116:K125,N116:N125)/100</f>
        <v>0</v>
      </c>
    </row>
    <row r="127" spans="2:14" ht="15" thickBot="1">
      <c r="B127" s="156" t="s">
        <v>2497</v>
      </c>
      <c r="C127" s="150"/>
      <c r="D127" s="150"/>
      <c r="E127" s="1260">
        <f>GPC!$F$87</f>
        <v>265</v>
      </c>
      <c r="F127" s="150"/>
      <c r="G127" s="151"/>
      <c r="I127" s="695" t="s">
        <v>866</v>
      </c>
    </row>
    <row r="128" spans="2:14" ht="15" thickBot="1">
      <c r="B128" s="152"/>
      <c r="C128" s="150"/>
      <c r="D128" s="150"/>
      <c r="E128" s="206">
        <f>E126*E127</f>
        <v>0</v>
      </c>
      <c r="F128" s="155" t="s">
        <v>2505</v>
      </c>
      <c r="G128" s="151"/>
    </row>
    <row r="129" spans="1:12" ht="13.8" thickBot="1">
      <c r="B129" s="152"/>
      <c r="C129" s="150"/>
      <c r="D129" s="150"/>
      <c r="E129" s="744"/>
      <c r="F129" s="155"/>
      <c r="G129" s="151"/>
    </row>
    <row r="130" spans="1:12" ht="15" thickBot="1">
      <c r="B130" s="152" t="s">
        <v>847</v>
      </c>
      <c r="C130" s="150"/>
      <c r="D130" s="150"/>
      <c r="E130" s="206">
        <f>E120+E124+E128</f>
        <v>0</v>
      </c>
      <c r="F130" s="155" t="s">
        <v>2506</v>
      </c>
      <c r="G130" s="151"/>
    </row>
    <row r="131" spans="1:12">
      <c r="B131" s="158"/>
      <c r="C131" s="159"/>
      <c r="D131" s="159"/>
      <c r="E131" s="208"/>
      <c r="F131" s="159"/>
      <c r="G131" s="160"/>
    </row>
    <row r="133" spans="1:12">
      <c r="A133" s="702"/>
      <c r="B133" s="600" t="s">
        <v>1956</v>
      </c>
      <c r="C133" s="601"/>
      <c r="D133" s="602"/>
      <c r="E133" s="603"/>
      <c r="F133" s="602"/>
      <c r="G133" s="703"/>
    </row>
    <row r="134" spans="1:12">
      <c r="A134" s="702"/>
      <c r="B134" s="152" t="s">
        <v>851</v>
      </c>
      <c r="C134" s="150"/>
      <c r="D134" s="150"/>
      <c r="E134" s="709">
        <f>'Waste_Input DATA '!C114</f>
        <v>0</v>
      </c>
      <c r="F134" s="150" t="s">
        <v>852</v>
      </c>
      <c r="G134" s="151"/>
    </row>
    <row r="135" spans="1:12">
      <c r="A135" s="702"/>
      <c r="B135" s="152" t="s">
        <v>856</v>
      </c>
      <c r="C135" s="150"/>
      <c r="D135" s="150"/>
      <c r="E135" s="161">
        <v>0.9</v>
      </c>
      <c r="F135" s="150"/>
      <c r="G135" s="151"/>
    </row>
    <row r="136" spans="1:12">
      <c r="A136" s="702"/>
      <c r="B136" s="152" t="s">
        <v>860</v>
      </c>
      <c r="C136" s="150"/>
      <c r="D136" s="150"/>
      <c r="E136" s="161">
        <v>0.6</v>
      </c>
      <c r="F136" s="150"/>
      <c r="G136" s="151"/>
    </row>
    <row r="137" spans="1:12">
      <c r="A137" s="702"/>
      <c r="B137" s="152" t="s">
        <v>862</v>
      </c>
      <c r="C137" s="150"/>
      <c r="D137" s="150"/>
      <c r="E137" s="161">
        <v>0.4</v>
      </c>
      <c r="F137" s="150"/>
      <c r="G137" s="151"/>
    </row>
    <row r="138" spans="1:12">
      <c r="A138" s="702"/>
      <c r="B138" s="152" t="s">
        <v>863</v>
      </c>
      <c r="C138" s="150"/>
      <c r="D138" s="150"/>
      <c r="E138" s="161">
        <v>1</v>
      </c>
      <c r="F138" s="150"/>
      <c r="G138" s="151"/>
    </row>
    <row r="139" spans="1:12" ht="13.8" thickBot="1">
      <c r="A139" s="702"/>
      <c r="B139" s="152" t="s">
        <v>864</v>
      </c>
      <c r="C139" s="150"/>
      <c r="D139" s="150"/>
      <c r="E139" s="153">
        <f>44/12</f>
        <v>3.6666666666666665</v>
      </c>
      <c r="F139" s="150"/>
      <c r="G139" s="151"/>
    </row>
    <row r="140" spans="1:12" ht="15" thickBot="1">
      <c r="A140" s="702"/>
      <c r="B140" s="152"/>
      <c r="C140" s="150"/>
      <c r="D140" s="150"/>
      <c r="E140" s="206">
        <f>E134*E135*E136*E137*E138*E139</f>
        <v>0</v>
      </c>
      <c r="F140" s="150" t="s">
        <v>2499</v>
      </c>
      <c r="G140" s="151"/>
    </row>
    <row r="141" spans="1:12">
      <c r="A141" s="702"/>
      <c r="B141" s="158"/>
      <c r="C141" s="159"/>
      <c r="D141" s="159"/>
      <c r="E141" s="208"/>
      <c r="F141" s="159"/>
      <c r="G141" s="160"/>
    </row>
    <row r="143" spans="1:12">
      <c r="B143" s="600" t="s">
        <v>867</v>
      </c>
      <c r="C143" s="601"/>
      <c r="D143" s="602"/>
      <c r="E143" s="603"/>
      <c r="F143" s="602"/>
      <c r="G143" s="703"/>
      <c r="K143" s="712"/>
      <c r="L143" s="712"/>
    </row>
    <row r="144" spans="1:12">
      <c r="B144" s="152" t="s">
        <v>851</v>
      </c>
      <c r="C144" s="150"/>
      <c r="D144" s="150"/>
      <c r="E144" s="709">
        <f>'Waste_Input DATA '!C119</f>
        <v>0</v>
      </c>
      <c r="F144" s="150" t="s">
        <v>852</v>
      </c>
      <c r="G144" s="151"/>
      <c r="K144" s="713"/>
      <c r="L144" s="714"/>
    </row>
    <row r="145" spans="2:12">
      <c r="B145" s="152" t="s">
        <v>856</v>
      </c>
      <c r="C145" s="150"/>
      <c r="D145" s="150"/>
      <c r="E145" s="161">
        <v>0.9</v>
      </c>
      <c r="F145" s="150" t="s">
        <v>845</v>
      </c>
      <c r="G145" s="151"/>
      <c r="K145" s="713"/>
      <c r="L145" s="714"/>
    </row>
    <row r="146" spans="2:12">
      <c r="B146" s="152" t="s">
        <v>860</v>
      </c>
      <c r="C146" s="150"/>
      <c r="D146" s="150"/>
      <c r="E146" s="161">
        <v>0.5</v>
      </c>
      <c r="F146" s="150" t="s">
        <v>845</v>
      </c>
      <c r="G146" s="151"/>
      <c r="L146" s="714"/>
    </row>
    <row r="147" spans="2:12">
      <c r="B147" s="152" t="s">
        <v>862</v>
      </c>
      <c r="C147" s="150"/>
      <c r="D147" s="150"/>
      <c r="E147" s="161">
        <v>0.9</v>
      </c>
      <c r="F147" s="150" t="s">
        <v>845</v>
      </c>
      <c r="G147" s="151"/>
    </row>
    <row r="148" spans="2:12">
      <c r="B148" s="152" t="s">
        <v>863</v>
      </c>
      <c r="C148" s="150"/>
      <c r="D148" s="150"/>
      <c r="E148" s="161">
        <v>1</v>
      </c>
      <c r="F148" s="150" t="s">
        <v>845</v>
      </c>
      <c r="G148" s="151"/>
    </row>
    <row r="149" spans="2:12" ht="13.8" thickBot="1">
      <c r="B149" s="152" t="s">
        <v>864</v>
      </c>
      <c r="C149" s="150"/>
      <c r="D149" s="150"/>
      <c r="E149" s="153">
        <f>44/12</f>
        <v>3.6666666666666665</v>
      </c>
      <c r="F149" s="150"/>
      <c r="G149" s="151"/>
    </row>
    <row r="150" spans="2:12" ht="15" thickBot="1">
      <c r="B150" s="152"/>
      <c r="C150" s="150"/>
      <c r="D150" s="150"/>
      <c r="E150" s="206">
        <f>E144*E145*E146*E147*E148*E149</f>
        <v>0</v>
      </c>
      <c r="F150" s="150" t="s">
        <v>2499</v>
      </c>
      <c r="G150" s="151"/>
    </row>
    <row r="151" spans="2:12" ht="14.4">
      <c r="B151" s="154" t="s">
        <v>2507</v>
      </c>
      <c r="C151" s="707"/>
      <c r="D151" s="150"/>
      <c r="E151" s="207">
        <v>60</v>
      </c>
      <c r="F151" s="155" t="s">
        <v>2500</v>
      </c>
      <c r="G151" s="151"/>
    </row>
    <row r="152" spans="2:12" ht="14.4">
      <c r="B152" s="152"/>
      <c r="C152" s="150"/>
      <c r="D152" s="150"/>
      <c r="E152" s="207">
        <f>E144*(E151/10^6)</f>
        <v>0</v>
      </c>
      <c r="F152" s="155" t="s">
        <v>2501</v>
      </c>
      <c r="G152" s="151"/>
    </row>
    <row r="153" spans="2:12" ht="15" thickBot="1">
      <c r="B153" s="156" t="s">
        <v>2496</v>
      </c>
      <c r="C153" s="150"/>
      <c r="D153" s="150"/>
      <c r="E153" s="1260">
        <f>GPC!$F$85</f>
        <v>28</v>
      </c>
      <c r="F153" s="150"/>
      <c r="G153" s="151"/>
    </row>
    <row r="154" spans="2:12" ht="15" thickBot="1">
      <c r="B154" s="152"/>
      <c r="C154" s="150"/>
      <c r="D154" s="150"/>
      <c r="E154" s="206">
        <f>E152*E153</f>
        <v>0</v>
      </c>
      <c r="F154" s="157" t="s">
        <v>2502</v>
      </c>
      <c r="G154" s="151"/>
    </row>
    <row r="155" spans="2:12" ht="14.4">
      <c r="B155" s="154" t="s">
        <v>2498</v>
      </c>
      <c r="C155" s="707"/>
      <c r="D155" s="150"/>
      <c r="E155" s="207">
        <v>100</v>
      </c>
      <c r="F155" s="155" t="s">
        <v>2503</v>
      </c>
      <c r="G155" s="151"/>
    </row>
    <row r="156" spans="2:12" ht="14.4">
      <c r="B156" s="152"/>
      <c r="C156" s="150"/>
      <c r="D156" s="150"/>
      <c r="E156" s="207">
        <f>E144*(E155/10^6)</f>
        <v>0</v>
      </c>
      <c r="F156" s="155" t="s">
        <v>2504</v>
      </c>
      <c r="G156" s="151"/>
    </row>
    <row r="157" spans="2:12" ht="15" thickBot="1">
      <c r="B157" s="156" t="s">
        <v>2497</v>
      </c>
      <c r="C157" s="150"/>
      <c r="D157" s="150"/>
      <c r="E157" s="1260">
        <f>GPC!$F$87</f>
        <v>265</v>
      </c>
      <c r="F157" s="150"/>
      <c r="G157" s="151"/>
    </row>
    <row r="158" spans="2:12" ht="15" thickBot="1">
      <c r="B158" s="152"/>
      <c r="C158" s="150"/>
      <c r="D158" s="150"/>
      <c r="E158" s="206">
        <f>E156*E157</f>
        <v>0</v>
      </c>
      <c r="F158" s="155" t="s">
        <v>2505</v>
      </c>
      <c r="G158" s="151"/>
    </row>
    <row r="159" spans="2:12" ht="13.8" thickBot="1">
      <c r="B159" s="152"/>
      <c r="C159" s="150"/>
      <c r="D159" s="150"/>
      <c r="E159" s="604"/>
      <c r="F159" s="155"/>
      <c r="G159" s="151"/>
    </row>
    <row r="160" spans="2:12" ht="15" thickBot="1">
      <c r="B160" s="152" t="s">
        <v>847</v>
      </c>
      <c r="C160" s="150"/>
      <c r="D160" s="150"/>
      <c r="E160" s="206">
        <f>E150+E154+E158</f>
        <v>0</v>
      </c>
      <c r="F160" s="155" t="s">
        <v>2506</v>
      </c>
      <c r="G160" s="151"/>
    </row>
    <row r="161" spans="2:7">
      <c r="B161" s="158"/>
      <c r="C161" s="159"/>
      <c r="D161" s="159"/>
      <c r="E161" s="208"/>
      <c r="F161" s="159"/>
      <c r="G161" s="160"/>
    </row>
  </sheetData>
  <mergeCells count="39">
    <mergeCell ref="I126:J126"/>
    <mergeCell ref="I121:J121"/>
    <mergeCell ref="I122:J122"/>
    <mergeCell ref="I123:J123"/>
    <mergeCell ref="I124:J124"/>
    <mergeCell ref="I125:J125"/>
    <mergeCell ref="I116:J116"/>
    <mergeCell ref="I117:J117"/>
    <mergeCell ref="I118:J118"/>
    <mergeCell ref="I119:J119"/>
    <mergeCell ref="I120:J120"/>
    <mergeCell ref="I72:J72"/>
    <mergeCell ref="I73:J73"/>
    <mergeCell ref="I74:J74"/>
    <mergeCell ref="L113:N113"/>
    <mergeCell ref="I114:J115"/>
    <mergeCell ref="I67:J67"/>
    <mergeCell ref="I68:J68"/>
    <mergeCell ref="I69:J69"/>
    <mergeCell ref="I70:J70"/>
    <mergeCell ref="I71:J71"/>
    <mergeCell ref="L61:N61"/>
    <mergeCell ref="I62:J63"/>
    <mergeCell ref="I64:J64"/>
    <mergeCell ref="I65:J65"/>
    <mergeCell ref="I66:J66"/>
    <mergeCell ref="I20:J20"/>
    <mergeCell ref="I21:J21"/>
    <mergeCell ref="I22:J22"/>
    <mergeCell ref="I16:J16"/>
    <mergeCell ref="I17:J17"/>
    <mergeCell ref="L9:N9"/>
    <mergeCell ref="I18:J18"/>
    <mergeCell ref="I19:J19"/>
    <mergeCell ref="I12:J12"/>
    <mergeCell ref="I13:J13"/>
    <mergeCell ref="I14:J14"/>
    <mergeCell ref="I15:J15"/>
    <mergeCell ref="I10:J1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63300"/>
  </sheetPr>
  <dimension ref="A1:L71"/>
  <sheetViews>
    <sheetView zoomScale="55" zoomScaleNormal="55" workbookViewId="0">
      <selection activeCell="S22" sqref="S22"/>
    </sheetView>
  </sheetViews>
  <sheetFormatPr defaultColWidth="8.6640625" defaultRowHeight="13.2"/>
  <cols>
    <col min="1" max="1" width="8.6640625" style="99"/>
    <col min="2" max="6" width="15.44140625" style="99" customWidth="1"/>
    <col min="7" max="7" width="5.44140625" style="99" customWidth="1"/>
    <col min="8" max="12" width="15.44140625" style="99" customWidth="1"/>
    <col min="13" max="16384" width="8.6640625" style="99"/>
  </cols>
  <sheetData>
    <row r="1" spans="1:12" s="205" customFormat="1">
      <c r="A1" s="122" t="s">
        <v>763</v>
      </c>
      <c r="B1" s="122"/>
      <c r="C1" s="122"/>
      <c r="D1" s="122"/>
      <c r="E1" s="122"/>
      <c r="F1" s="122"/>
      <c r="G1" s="122"/>
      <c r="H1" s="122"/>
      <c r="I1" s="122"/>
      <c r="J1" s="122"/>
      <c r="K1" s="122"/>
      <c r="L1" s="123"/>
    </row>
    <row r="2" spans="1:12">
      <c r="A2" s="2131" t="s">
        <v>839</v>
      </c>
      <c r="B2" s="2132"/>
      <c r="C2" s="2132"/>
      <c r="D2" s="2132"/>
      <c r="E2" s="2132"/>
      <c r="F2" s="2132"/>
      <c r="G2" s="2132"/>
      <c r="H2" s="2132"/>
      <c r="I2" s="2132"/>
      <c r="J2" s="2132"/>
      <c r="K2" s="2132"/>
      <c r="L2" s="2132"/>
    </row>
    <row r="3" spans="1:12">
      <c r="A3" s="209"/>
      <c r="B3" s="210"/>
      <c r="C3" s="210"/>
      <c r="D3" s="210"/>
      <c r="E3" s="210"/>
      <c r="F3" s="210"/>
      <c r="G3" s="210"/>
      <c r="H3" s="210"/>
      <c r="I3" s="210"/>
      <c r="J3" s="210"/>
      <c r="K3" s="210"/>
      <c r="L3" s="210"/>
    </row>
    <row r="4" spans="1:12">
      <c r="A4" s="120" t="s">
        <v>254</v>
      </c>
      <c r="B4" s="1413">
        <f>'City information'!$C$4</f>
        <v>0</v>
      </c>
      <c r="C4" s="120"/>
      <c r="D4" s="120"/>
      <c r="E4" s="120"/>
      <c r="F4" s="857"/>
      <c r="G4" s="857"/>
      <c r="H4" s="857"/>
      <c r="I4" s="857"/>
      <c r="J4" s="857"/>
      <c r="K4" s="857"/>
      <c r="L4" s="857"/>
    </row>
    <row r="5" spans="1:12">
      <c r="A5" s="120" t="s">
        <v>140</v>
      </c>
      <c r="B5" s="1413">
        <f>'City information'!$C$5</f>
        <v>2562</v>
      </c>
      <c r="C5" s="120"/>
      <c r="D5" s="120"/>
      <c r="E5" s="120"/>
      <c r="F5" s="857"/>
      <c r="G5" s="857"/>
      <c r="H5" s="857"/>
      <c r="I5" s="857"/>
      <c r="J5" s="857"/>
      <c r="K5" s="857"/>
      <c r="L5" s="857"/>
    </row>
    <row r="6" spans="1:12">
      <c r="A6" s="126"/>
      <c r="B6" s="126"/>
      <c r="C6" s="126"/>
      <c r="D6" s="126"/>
      <c r="E6" s="126"/>
      <c r="F6" s="210"/>
      <c r="G6" s="210"/>
      <c r="H6" s="210"/>
      <c r="I6" s="210"/>
      <c r="J6" s="210"/>
      <c r="K6" s="210"/>
      <c r="L6" s="210"/>
    </row>
    <row r="7" spans="1:12">
      <c r="A7" s="715" t="s">
        <v>1957</v>
      </c>
      <c r="B7" s="716"/>
      <c r="C7" s="717"/>
      <c r="D7" s="717"/>
      <c r="E7" s="718"/>
      <c r="F7" s="718"/>
      <c r="G7" s="718"/>
      <c r="H7" s="718"/>
      <c r="I7" s="718"/>
      <c r="J7" s="718"/>
      <c r="K7" s="718"/>
      <c r="L7" s="718"/>
    </row>
    <row r="8" spans="1:12">
      <c r="A8" s="126"/>
      <c r="B8" s="126"/>
      <c r="C8" s="126"/>
      <c r="E8" s="126"/>
      <c r="F8" s="210"/>
      <c r="G8" s="210"/>
      <c r="H8" s="210"/>
      <c r="I8" s="210"/>
      <c r="J8" s="210"/>
      <c r="K8" s="210"/>
      <c r="L8" s="210"/>
    </row>
    <row r="9" spans="1:12">
      <c r="B9" s="1605" t="s">
        <v>840</v>
      </c>
      <c r="C9" s="1606"/>
      <c r="D9" s="1607"/>
      <c r="E9" s="1608"/>
      <c r="F9" s="1609"/>
      <c r="H9" s="1605" t="s">
        <v>841</v>
      </c>
      <c r="I9" s="1606"/>
      <c r="J9" s="1607"/>
      <c r="K9" s="1608"/>
      <c r="L9" s="1609"/>
    </row>
    <row r="10" spans="1:12">
      <c r="B10" s="192" t="s">
        <v>842</v>
      </c>
      <c r="C10" s="193"/>
      <c r="D10" s="1200">
        <f>'Waste_Input DATA '!C53</f>
        <v>0</v>
      </c>
      <c r="E10" s="194" t="s">
        <v>843</v>
      </c>
      <c r="F10" s="191"/>
      <c r="H10" s="192" t="s">
        <v>842</v>
      </c>
      <c r="I10" s="193"/>
      <c r="J10" s="1200">
        <f>'Waste_Input DATA '!F53</f>
        <v>0</v>
      </c>
      <c r="K10" s="194" t="s">
        <v>843</v>
      </c>
      <c r="L10" s="191"/>
    </row>
    <row r="11" spans="1:12">
      <c r="B11" s="188" t="s">
        <v>844</v>
      </c>
      <c r="C11" s="189"/>
      <c r="D11" s="1202"/>
      <c r="E11" s="190" t="s">
        <v>845</v>
      </c>
      <c r="F11" s="191"/>
      <c r="H11" s="188" t="s">
        <v>844</v>
      </c>
      <c r="I11" s="189"/>
      <c r="J11" s="1202"/>
      <c r="K11" s="190" t="s">
        <v>845</v>
      </c>
      <c r="L11" s="191"/>
    </row>
    <row r="12" spans="1:12" ht="14.4">
      <c r="B12" s="192" t="s">
        <v>846</v>
      </c>
      <c r="C12" s="193"/>
      <c r="D12" s="200">
        <v>4</v>
      </c>
      <c r="E12" s="194" t="s">
        <v>2483</v>
      </c>
      <c r="F12" s="191"/>
      <c r="H12" s="192" t="s">
        <v>846</v>
      </c>
      <c r="I12" s="193"/>
      <c r="J12" s="200">
        <v>4</v>
      </c>
      <c r="K12" s="194" t="s">
        <v>2483</v>
      </c>
      <c r="L12" s="191"/>
    </row>
    <row r="13" spans="1:12" ht="14.4">
      <c r="B13" s="188" t="s">
        <v>2492</v>
      </c>
      <c r="C13" s="189"/>
      <c r="D13" s="1260">
        <f>GPC!$F$85</f>
        <v>28</v>
      </c>
      <c r="E13" s="190"/>
      <c r="F13" s="191"/>
      <c r="H13" s="188" t="s">
        <v>2492</v>
      </c>
      <c r="I13" s="189"/>
      <c r="J13" s="1260">
        <f>GPC!$F$85</f>
        <v>28</v>
      </c>
      <c r="K13" s="190"/>
      <c r="L13" s="191"/>
    </row>
    <row r="14" spans="1:12" ht="14.4">
      <c r="B14" s="192" t="s">
        <v>846</v>
      </c>
      <c r="C14" s="193"/>
      <c r="D14" s="200">
        <v>0.3</v>
      </c>
      <c r="E14" s="194" t="s">
        <v>2484</v>
      </c>
      <c r="F14" s="191"/>
      <c r="H14" s="192" t="s">
        <v>846</v>
      </c>
      <c r="I14" s="193"/>
      <c r="J14" s="200">
        <v>0.3</v>
      </c>
      <c r="K14" s="194" t="s">
        <v>2484</v>
      </c>
      <c r="L14" s="191"/>
    </row>
    <row r="15" spans="1:12" ht="14.4">
      <c r="B15" s="188" t="s">
        <v>2493</v>
      </c>
      <c r="C15" s="189"/>
      <c r="D15" s="1260">
        <f>GPC!$F$87</f>
        <v>265</v>
      </c>
      <c r="E15" s="190"/>
      <c r="F15" s="191"/>
      <c r="H15" s="188" t="s">
        <v>2493</v>
      </c>
      <c r="I15" s="189"/>
      <c r="J15" s="1260">
        <f>GPC!$F$87</f>
        <v>265</v>
      </c>
      <c r="K15" s="190"/>
      <c r="L15" s="191"/>
    </row>
    <row r="16" spans="1:12">
      <c r="B16" s="188"/>
      <c r="C16" s="190"/>
      <c r="D16" s="201"/>
      <c r="E16" s="190"/>
      <c r="F16" s="191"/>
      <c r="H16" s="188"/>
      <c r="I16" s="190"/>
      <c r="J16" s="201"/>
      <c r="K16" s="190"/>
      <c r="L16" s="191"/>
    </row>
    <row r="17" spans="1:12" ht="14.4">
      <c r="B17" s="192" t="s">
        <v>2494</v>
      </c>
      <c r="C17" s="190"/>
      <c r="D17" s="202">
        <f>D10*(D11/100)*D12</f>
        <v>0</v>
      </c>
      <c r="E17" s="190" t="s">
        <v>2485</v>
      </c>
      <c r="F17" s="191"/>
      <c r="H17" s="192" t="s">
        <v>2494</v>
      </c>
      <c r="I17" s="190"/>
      <c r="J17" s="202">
        <f>J10*(J11/100)*J12</f>
        <v>0</v>
      </c>
      <c r="K17" s="190" t="s">
        <v>2485</v>
      </c>
      <c r="L17" s="191"/>
    </row>
    <row r="18" spans="1:12" ht="15" thickBot="1">
      <c r="B18" s="188"/>
      <c r="C18" s="190"/>
      <c r="D18" s="202">
        <f>D17/1000</f>
        <v>0</v>
      </c>
      <c r="E18" s="190" t="s">
        <v>2486</v>
      </c>
      <c r="F18" s="191"/>
      <c r="H18" s="188"/>
      <c r="I18" s="190"/>
      <c r="J18" s="202">
        <f>J17/1000</f>
        <v>0</v>
      </c>
      <c r="K18" s="190" t="s">
        <v>2486</v>
      </c>
      <c r="L18" s="191"/>
    </row>
    <row r="19" spans="1:12" ht="15" thickBot="1">
      <c r="B19" s="192"/>
      <c r="C19" s="194"/>
      <c r="D19" s="203">
        <f>D18*D13</f>
        <v>0</v>
      </c>
      <c r="E19" s="194" t="s">
        <v>2487</v>
      </c>
      <c r="F19" s="191"/>
      <c r="H19" s="192"/>
      <c r="I19" s="194"/>
      <c r="J19" s="203">
        <f>J18*J13</f>
        <v>0</v>
      </c>
      <c r="K19" s="194" t="s">
        <v>2487</v>
      </c>
      <c r="L19" s="191"/>
    </row>
    <row r="20" spans="1:12">
      <c r="B20" s="188"/>
      <c r="C20" s="190"/>
      <c r="D20" s="201"/>
      <c r="E20" s="190"/>
      <c r="F20" s="191"/>
      <c r="H20" s="188"/>
      <c r="I20" s="190"/>
      <c r="J20" s="201"/>
      <c r="K20" s="190"/>
      <c r="L20" s="191"/>
    </row>
    <row r="21" spans="1:12" ht="14.4">
      <c r="B21" s="192" t="s">
        <v>2495</v>
      </c>
      <c r="C21" s="190"/>
      <c r="D21" s="202">
        <f>D10*(D11/100)*D14</f>
        <v>0</v>
      </c>
      <c r="E21" s="190" t="s">
        <v>2488</v>
      </c>
      <c r="F21" s="191"/>
      <c r="H21" s="192" t="s">
        <v>2495</v>
      </c>
      <c r="I21" s="190"/>
      <c r="J21" s="202">
        <f>J10*(J11/100)*J14</f>
        <v>0</v>
      </c>
      <c r="K21" s="190" t="s">
        <v>2488</v>
      </c>
      <c r="L21" s="191"/>
    </row>
    <row r="22" spans="1:12" ht="15" thickBot="1">
      <c r="B22" s="188"/>
      <c r="C22" s="190"/>
      <c r="D22" s="202">
        <f>D21/1000</f>
        <v>0</v>
      </c>
      <c r="E22" s="190" t="s">
        <v>2489</v>
      </c>
      <c r="F22" s="191"/>
      <c r="H22" s="188"/>
      <c r="I22" s="190"/>
      <c r="J22" s="202">
        <f>J21/1000</f>
        <v>0</v>
      </c>
      <c r="K22" s="190" t="s">
        <v>2489</v>
      </c>
      <c r="L22" s="191"/>
    </row>
    <row r="23" spans="1:12" ht="15" thickBot="1">
      <c r="B23" s="188"/>
      <c r="C23" s="190"/>
      <c r="D23" s="203">
        <f>D22*D15</f>
        <v>0</v>
      </c>
      <c r="E23" s="190" t="s">
        <v>2490</v>
      </c>
      <c r="F23" s="191"/>
      <c r="H23" s="188"/>
      <c r="I23" s="190"/>
      <c r="J23" s="203">
        <f>J22*J15</f>
        <v>0</v>
      </c>
      <c r="K23" s="190" t="s">
        <v>2490</v>
      </c>
      <c r="L23" s="191"/>
    </row>
    <row r="24" spans="1:12" ht="13.8" thickBot="1">
      <c r="B24" s="195"/>
      <c r="C24" s="189"/>
      <c r="D24" s="204"/>
      <c r="E24" s="189"/>
      <c r="F24" s="191"/>
      <c r="H24" s="195"/>
      <c r="I24" s="189"/>
      <c r="J24" s="204"/>
      <c r="K24" s="189"/>
      <c r="L24" s="191"/>
    </row>
    <row r="25" spans="1:12" ht="15" thickBot="1">
      <c r="B25" s="196" t="s">
        <v>847</v>
      </c>
      <c r="C25" s="193"/>
      <c r="D25" s="203">
        <f>D19+D23</f>
        <v>0</v>
      </c>
      <c r="E25" s="745" t="s">
        <v>2491</v>
      </c>
      <c r="F25" s="191"/>
      <c r="H25" s="196" t="s">
        <v>847</v>
      </c>
      <c r="I25" s="193"/>
      <c r="J25" s="203">
        <f>J19+J23</f>
        <v>0</v>
      </c>
      <c r="K25" s="745" t="s">
        <v>2491</v>
      </c>
      <c r="L25" s="191"/>
    </row>
    <row r="26" spans="1:12">
      <c r="B26" s="195"/>
      <c r="C26" s="189"/>
      <c r="D26" s="189"/>
      <c r="E26" s="189"/>
      <c r="F26" s="191"/>
      <c r="H26" s="195"/>
      <c r="I26" s="189"/>
      <c r="J26" s="189"/>
      <c r="K26" s="189"/>
      <c r="L26" s="191"/>
    </row>
    <row r="27" spans="1:12">
      <c r="B27" s="197"/>
      <c r="C27" s="198"/>
      <c r="D27" s="198"/>
      <c r="E27" s="198"/>
      <c r="F27" s="199"/>
      <c r="H27" s="197"/>
      <c r="I27" s="198"/>
      <c r="J27" s="198"/>
      <c r="K27" s="198"/>
      <c r="L27" s="199"/>
    </row>
    <row r="29" spans="1:12">
      <c r="A29" s="715" t="s">
        <v>1958</v>
      </c>
      <c r="B29" s="716"/>
      <c r="C29" s="717"/>
      <c r="D29" s="717"/>
      <c r="E29" s="718"/>
      <c r="F29" s="718"/>
      <c r="G29" s="718"/>
      <c r="H29" s="718"/>
      <c r="I29" s="718"/>
      <c r="J29" s="718"/>
      <c r="K29" s="718"/>
      <c r="L29" s="718"/>
    </row>
    <row r="30" spans="1:12">
      <c r="A30" s="126"/>
      <c r="B30" s="126"/>
      <c r="C30" s="126"/>
      <c r="E30" s="126"/>
      <c r="F30" s="210"/>
      <c r="G30" s="210"/>
      <c r="H30" s="210"/>
      <c r="I30" s="210"/>
      <c r="J30" s="210"/>
      <c r="K30" s="210"/>
      <c r="L30" s="210"/>
    </row>
    <row r="31" spans="1:12">
      <c r="B31" s="1605" t="s">
        <v>840</v>
      </c>
      <c r="C31" s="1606"/>
      <c r="D31" s="1607"/>
      <c r="E31" s="1608"/>
      <c r="F31" s="1609"/>
      <c r="H31" s="1605" t="s">
        <v>841</v>
      </c>
      <c r="I31" s="1606"/>
      <c r="J31" s="1607"/>
      <c r="K31" s="1608"/>
      <c r="L31" s="1609"/>
    </row>
    <row r="32" spans="1:12">
      <c r="B32" s="192" t="s">
        <v>842</v>
      </c>
      <c r="C32" s="193"/>
      <c r="D32" s="1200">
        <f>'Waste_Input DATA '!C81</f>
        <v>0</v>
      </c>
      <c r="E32" s="194" t="s">
        <v>843</v>
      </c>
      <c r="F32" s="191"/>
      <c r="H32" s="192" t="s">
        <v>842</v>
      </c>
      <c r="I32" s="193"/>
      <c r="J32" s="1200">
        <f>'Waste_Input DATA '!F81</f>
        <v>0</v>
      </c>
      <c r="K32" s="194" t="s">
        <v>843</v>
      </c>
      <c r="L32" s="191"/>
    </row>
    <row r="33" spans="2:12">
      <c r="B33" s="188" t="s">
        <v>844</v>
      </c>
      <c r="C33" s="189"/>
      <c r="D33" s="1202"/>
      <c r="E33" s="190" t="s">
        <v>845</v>
      </c>
      <c r="F33" s="191"/>
      <c r="H33" s="188" t="s">
        <v>844</v>
      </c>
      <c r="I33" s="189"/>
      <c r="J33" s="1202"/>
      <c r="K33" s="190" t="s">
        <v>845</v>
      </c>
      <c r="L33" s="191"/>
    </row>
    <row r="34" spans="2:12" ht="14.4">
      <c r="B34" s="192" t="s">
        <v>846</v>
      </c>
      <c r="C34" s="193"/>
      <c r="D34" s="200">
        <v>4</v>
      </c>
      <c r="E34" s="194" t="s">
        <v>2483</v>
      </c>
      <c r="F34" s="191"/>
      <c r="H34" s="192" t="s">
        <v>846</v>
      </c>
      <c r="I34" s="193"/>
      <c r="J34" s="200">
        <v>4</v>
      </c>
      <c r="K34" s="194" t="s">
        <v>2483</v>
      </c>
      <c r="L34" s="191"/>
    </row>
    <row r="35" spans="2:12" ht="14.4">
      <c r="B35" s="188" t="s">
        <v>2492</v>
      </c>
      <c r="C35" s="189"/>
      <c r="D35" s="1260">
        <f>GPC!$F$85</f>
        <v>28</v>
      </c>
      <c r="E35" s="190"/>
      <c r="F35" s="191"/>
      <c r="H35" s="188" t="s">
        <v>2492</v>
      </c>
      <c r="I35" s="189"/>
      <c r="J35" s="1260">
        <f>GPC!$F$85</f>
        <v>28</v>
      </c>
      <c r="K35" s="190"/>
      <c r="L35" s="191"/>
    </row>
    <row r="36" spans="2:12" ht="14.4">
      <c r="B36" s="192" t="s">
        <v>846</v>
      </c>
      <c r="C36" s="193"/>
      <c r="D36" s="200">
        <v>0.3</v>
      </c>
      <c r="E36" s="194" t="s">
        <v>2484</v>
      </c>
      <c r="F36" s="191"/>
      <c r="H36" s="192" t="s">
        <v>846</v>
      </c>
      <c r="I36" s="193"/>
      <c r="J36" s="200">
        <v>0.3</v>
      </c>
      <c r="K36" s="194" t="s">
        <v>2484</v>
      </c>
      <c r="L36" s="191"/>
    </row>
    <row r="37" spans="2:12" ht="14.4">
      <c r="B37" s="188" t="s">
        <v>2493</v>
      </c>
      <c r="C37" s="189"/>
      <c r="D37" s="1260">
        <f>GPC!$F$87</f>
        <v>265</v>
      </c>
      <c r="E37" s="190"/>
      <c r="F37" s="191"/>
      <c r="H37" s="188" t="s">
        <v>2493</v>
      </c>
      <c r="I37" s="189"/>
      <c r="J37" s="1260">
        <f>GPC!$F$87</f>
        <v>265</v>
      </c>
      <c r="K37" s="190"/>
      <c r="L37" s="191"/>
    </row>
    <row r="38" spans="2:12">
      <c r="B38" s="188"/>
      <c r="C38" s="190"/>
      <c r="D38" s="201"/>
      <c r="E38" s="190"/>
      <c r="F38" s="191"/>
      <c r="H38" s="188"/>
      <c r="I38" s="190"/>
      <c r="J38" s="201"/>
      <c r="K38" s="190"/>
      <c r="L38" s="191"/>
    </row>
    <row r="39" spans="2:12" ht="14.4">
      <c r="B39" s="192" t="s">
        <v>2494</v>
      </c>
      <c r="C39" s="190"/>
      <c r="D39" s="202">
        <f>D32*(D33/100)*D34</f>
        <v>0</v>
      </c>
      <c r="E39" s="190" t="s">
        <v>2485</v>
      </c>
      <c r="F39" s="191"/>
      <c r="H39" s="192" t="s">
        <v>2494</v>
      </c>
      <c r="I39" s="190"/>
      <c r="J39" s="202">
        <f>J32*(J33/100)*J34</f>
        <v>0</v>
      </c>
      <c r="K39" s="190" t="s">
        <v>2485</v>
      </c>
      <c r="L39" s="191"/>
    </row>
    <row r="40" spans="2:12" ht="15" thickBot="1">
      <c r="B40" s="188"/>
      <c r="C40" s="190"/>
      <c r="D40" s="202">
        <f>D39/1000</f>
        <v>0</v>
      </c>
      <c r="E40" s="190" t="s">
        <v>2486</v>
      </c>
      <c r="F40" s="191"/>
      <c r="H40" s="188"/>
      <c r="I40" s="190"/>
      <c r="J40" s="202">
        <f>J39/1000</f>
        <v>0</v>
      </c>
      <c r="K40" s="190" t="s">
        <v>2486</v>
      </c>
      <c r="L40" s="191"/>
    </row>
    <row r="41" spans="2:12" ht="15" thickBot="1">
      <c r="B41" s="192"/>
      <c r="C41" s="194"/>
      <c r="D41" s="203">
        <f>D40*D35</f>
        <v>0</v>
      </c>
      <c r="E41" s="194" t="s">
        <v>2487</v>
      </c>
      <c r="F41" s="191"/>
      <c r="H41" s="192"/>
      <c r="I41" s="194"/>
      <c r="J41" s="203">
        <f>J40*J35</f>
        <v>0</v>
      </c>
      <c r="K41" s="194" t="s">
        <v>2487</v>
      </c>
      <c r="L41" s="191"/>
    </row>
    <row r="42" spans="2:12">
      <c r="B42" s="188"/>
      <c r="C42" s="190"/>
      <c r="D42" s="201"/>
      <c r="E42" s="190"/>
      <c r="F42" s="191"/>
      <c r="H42" s="188"/>
      <c r="I42" s="190"/>
      <c r="J42" s="201"/>
      <c r="K42" s="190"/>
      <c r="L42" s="191"/>
    </row>
    <row r="43" spans="2:12" ht="14.4">
      <c r="B43" s="192" t="s">
        <v>2495</v>
      </c>
      <c r="C43" s="190"/>
      <c r="D43" s="202">
        <f>D32*(D33/100)*D36</f>
        <v>0</v>
      </c>
      <c r="E43" s="190" t="s">
        <v>2488</v>
      </c>
      <c r="F43" s="191"/>
      <c r="H43" s="192" t="s">
        <v>2495</v>
      </c>
      <c r="I43" s="190"/>
      <c r="J43" s="202">
        <f>J32*(J33/100)*J36</f>
        <v>0</v>
      </c>
      <c r="K43" s="190" t="s">
        <v>2488</v>
      </c>
      <c r="L43" s="191"/>
    </row>
    <row r="44" spans="2:12" ht="15" thickBot="1">
      <c r="B44" s="188"/>
      <c r="C44" s="190"/>
      <c r="D44" s="202">
        <f>D43/1000</f>
        <v>0</v>
      </c>
      <c r="E44" s="190" t="s">
        <v>2489</v>
      </c>
      <c r="F44" s="191"/>
      <c r="H44" s="188"/>
      <c r="I44" s="190"/>
      <c r="J44" s="202">
        <f>J43/1000</f>
        <v>0</v>
      </c>
      <c r="K44" s="190" t="s">
        <v>2489</v>
      </c>
      <c r="L44" s="191"/>
    </row>
    <row r="45" spans="2:12" ht="15" thickBot="1">
      <c r="B45" s="188"/>
      <c r="C45" s="190"/>
      <c r="D45" s="203">
        <f>D44*D37</f>
        <v>0</v>
      </c>
      <c r="E45" s="190" t="s">
        <v>2490</v>
      </c>
      <c r="F45" s="191"/>
      <c r="H45" s="188"/>
      <c r="I45" s="190"/>
      <c r="J45" s="203">
        <f>J44*J37</f>
        <v>0</v>
      </c>
      <c r="K45" s="190" t="s">
        <v>2490</v>
      </c>
      <c r="L45" s="191"/>
    </row>
    <row r="46" spans="2:12" ht="13.8" thickBot="1">
      <c r="B46" s="195"/>
      <c r="C46" s="189"/>
      <c r="D46" s="204"/>
      <c r="E46" s="189"/>
      <c r="F46" s="191"/>
      <c r="H46" s="195"/>
      <c r="I46" s="189"/>
      <c r="J46" s="204"/>
      <c r="K46" s="189"/>
      <c r="L46" s="191"/>
    </row>
    <row r="47" spans="2:12" ht="15" thickBot="1">
      <c r="B47" s="196" t="s">
        <v>847</v>
      </c>
      <c r="C47" s="193"/>
      <c r="D47" s="203">
        <f>D41+D45</f>
        <v>0</v>
      </c>
      <c r="E47" s="745" t="s">
        <v>2491</v>
      </c>
      <c r="F47" s="191"/>
      <c r="H47" s="196" t="s">
        <v>847</v>
      </c>
      <c r="I47" s="193"/>
      <c r="J47" s="203">
        <f>J41+J45</f>
        <v>0</v>
      </c>
      <c r="K47" s="745" t="s">
        <v>2491</v>
      </c>
      <c r="L47" s="191"/>
    </row>
    <row r="48" spans="2:12">
      <c r="B48" s="195"/>
      <c r="C48" s="189"/>
      <c r="D48" s="189"/>
      <c r="E48" s="189"/>
      <c r="F48" s="191"/>
      <c r="H48" s="195"/>
      <c r="I48" s="189"/>
      <c r="J48" s="189"/>
      <c r="K48" s="189"/>
      <c r="L48" s="191"/>
    </row>
    <row r="49" spans="1:12">
      <c r="B49" s="197"/>
      <c r="C49" s="198"/>
      <c r="D49" s="198"/>
      <c r="E49" s="198"/>
      <c r="F49" s="199"/>
      <c r="H49" s="197"/>
      <c r="I49" s="198"/>
      <c r="J49" s="198"/>
      <c r="K49" s="198"/>
      <c r="L49" s="199"/>
    </row>
    <row r="51" spans="1:12">
      <c r="A51" s="715" t="s">
        <v>1960</v>
      </c>
      <c r="B51" s="716"/>
      <c r="C51" s="717"/>
      <c r="D51" s="717"/>
      <c r="E51" s="718"/>
      <c r="F51" s="718"/>
      <c r="G51" s="718"/>
      <c r="H51" s="718"/>
      <c r="I51" s="718"/>
      <c r="J51" s="718"/>
      <c r="K51" s="718"/>
      <c r="L51" s="718"/>
    </row>
    <row r="53" spans="1:12">
      <c r="B53" s="1605" t="s">
        <v>840</v>
      </c>
      <c r="C53" s="1606"/>
      <c r="D53" s="1607"/>
      <c r="E53" s="1608"/>
      <c r="F53" s="1609"/>
      <c r="H53" s="1605" t="s">
        <v>841</v>
      </c>
      <c r="I53" s="1606"/>
      <c r="J53" s="1607"/>
      <c r="K53" s="1608"/>
      <c r="L53" s="1609"/>
    </row>
    <row r="54" spans="1:12">
      <c r="B54" s="192" t="s">
        <v>842</v>
      </c>
      <c r="C54" s="193"/>
      <c r="D54" s="1200">
        <f>'Waste_Input DATA '!C109</f>
        <v>0</v>
      </c>
      <c r="E54" s="194" t="s">
        <v>843</v>
      </c>
      <c r="F54" s="191"/>
      <c r="H54" s="192" t="s">
        <v>842</v>
      </c>
      <c r="I54" s="193"/>
      <c r="J54" s="1200">
        <f>'Waste_Input DATA '!F109</f>
        <v>0</v>
      </c>
      <c r="K54" s="194" t="s">
        <v>843</v>
      </c>
      <c r="L54" s="191"/>
    </row>
    <row r="55" spans="1:12">
      <c r="B55" s="188" t="s">
        <v>844</v>
      </c>
      <c r="C55" s="189"/>
      <c r="D55" s="1202"/>
      <c r="E55" s="190" t="s">
        <v>845</v>
      </c>
      <c r="F55" s="191"/>
      <c r="H55" s="188" t="s">
        <v>844</v>
      </c>
      <c r="I55" s="189"/>
      <c r="J55" s="1202"/>
      <c r="K55" s="190" t="s">
        <v>845</v>
      </c>
      <c r="L55" s="191"/>
    </row>
    <row r="56" spans="1:12" ht="14.4">
      <c r="B56" s="192" t="s">
        <v>846</v>
      </c>
      <c r="C56" s="193"/>
      <c r="D56" s="200">
        <v>4</v>
      </c>
      <c r="E56" s="194" t="s">
        <v>2483</v>
      </c>
      <c r="F56" s="191"/>
      <c r="H56" s="192" t="s">
        <v>846</v>
      </c>
      <c r="I56" s="193"/>
      <c r="J56" s="200">
        <v>4</v>
      </c>
      <c r="K56" s="194" t="s">
        <v>2483</v>
      </c>
      <c r="L56" s="191"/>
    </row>
    <row r="57" spans="1:12" ht="14.4">
      <c r="B57" s="188" t="s">
        <v>2492</v>
      </c>
      <c r="C57" s="189"/>
      <c r="D57" s="1260">
        <f>GPC!$F$85</f>
        <v>28</v>
      </c>
      <c r="E57" s="190"/>
      <c r="F57" s="191"/>
      <c r="H57" s="188" t="s">
        <v>2492</v>
      </c>
      <c r="I57" s="189"/>
      <c r="J57" s="1260">
        <f>GPC!$F$85</f>
        <v>28</v>
      </c>
      <c r="K57" s="190"/>
      <c r="L57" s="191"/>
    </row>
    <row r="58" spans="1:12" ht="14.4">
      <c r="B58" s="192" t="s">
        <v>846</v>
      </c>
      <c r="C58" s="193"/>
      <c r="D58" s="200">
        <v>0.3</v>
      </c>
      <c r="E58" s="194" t="s">
        <v>2484</v>
      </c>
      <c r="F58" s="191"/>
      <c r="H58" s="192" t="s">
        <v>846</v>
      </c>
      <c r="I58" s="193"/>
      <c r="J58" s="200">
        <v>0.3</v>
      </c>
      <c r="K58" s="194" t="s">
        <v>2484</v>
      </c>
      <c r="L58" s="191"/>
    </row>
    <row r="59" spans="1:12" ht="14.4">
      <c r="B59" s="188" t="s">
        <v>2493</v>
      </c>
      <c r="C59" s="189"/>
      <c r="D59" s="1260">
        <f>GPC!$F$87</f>
        <v>265</v>
      </c>
      <c r="E59" s="190"/>
      <c r="F59" s="191"/>
      <c r="H59" s="188" t="s">
        <v>2493</v>
      </c>
      <c r="I59" s="189"/>
      <c r="J59" s="1260">
        <f>GPC!$F$87</f>
        <v>265</v>
      </c>
      <c r="K59" s="190"/>
      <c r="L59" s="191"/>
    </row>
    <row r="60" spans="1:12">
      <c r="B60" s="188"/>
      <c r="C60" s="190"/>
      <c r="D60" s="201"/>
      <c r="E60" s="190"/>
      <c r="F60" s="191"/>
      <c r="H60" s="188"/>
      <c r="I60" s="190"/>
      <c r="J60" s="201"/>
      <c r="K60" s="190"/>
      <c r="L60" s="191"/>
    </row>
    <row r="61" spans="1:12" ht="14.4">
      <c r="B61" s="192" t="s">
        <v>2494</v>
      </c>
      <c r="C61" s="190"/>
      <c r="D61" s="202">
        <f>D54*(D55/100)*D56</f>
        <v>0</v>
      </c>
      <c r="E61" s="190" t="s">
        <v>2485</v>
      </c>
      <c r="F61" s="191"/>
      <c r="H61" s="192" t="s">
        <v>2494</v>
      </c>
      <c r="I61" s="190"/>
      <c r="J61" s="202">
        <f>J54*(J55/100)*J56</f>
        <v>0</v>
      </c>
      <c r="K61" s="190" t="s">
        <v>2485</v>
      </c>
      <c r="L61" s="191"/>
    </row>
    <row r="62" spans="1:12" ht="15" thickBot="1">
      <c r="B62" s="188"/>
      <c r="C62" s="190"/>
      <c r="D62" s="202">
        <f>D61/1000</f>
        <v>0</v>
      </c>
      <c r="E62" s="190" t="s">
        <v>2486</v>
      </c>
      <c r="F62" s="191"/>
      <c r="H62" s="188"/>
      <c r="I62" s="190"/>
      <c r="J62" s="202">
        <f>J61/1000</f>
        <v>0</v>
      </c>
      <c r="K62" s="190" t="s">
        <v>2486</v>
      </c>
      <c r="L62" s="191"/>
    </row>
    <row r="63" spans="1:12" ht="15" thickBot="1">
      <c r="B63" s="192"/>
      <c r="C63" s="194"/>
      <c r="D63" s="203">
        <f>D62*D57</f>
        <v>0</v>
      </c>
      <c r="E63" s="194" t="s">
        <v>2487</v>
      </c>
      <c r="F63" s="191"/>
      <c r="H63" s="192"/>
      <c r="I63" s="194"/>
      <c r="J63" s="203">
        <f>J62*J57</f>
        <v>0</v>
      </c>
      <c r="K63" s="194" t="s">
        <v>2487</v>
      </c>
      <c r="L63" s="191"/>
    </row>
    <row r="64" spans="1:12">
      <c r="B64" s="188"/>
      <c r="C64" s="190"/>
      <c r="D64" s="201"/>
      <c r="E64" s="190"/>
      <c r="F64" s="191"/>
      <c r="H64" s="188"/>
      <c r="I64" s="190"/>
      <c r="J64" s="201"/>
      <c r="K64" s="190"/>
      <c r="L64" s="191"/>
    </row>
    <row r="65" spans="2:12" ht="14.4">
      <c r="B65" s="192" t="s">
        <v>2495</v>
      </c>
      <c r="C65" s="190"/>
      <c r="D65" s="202">
        <f>D54*(D55/100)*D58</f>
        <v>0</v>
      </c>
      <c r="E65" s="190" t="s">
        <v>2488</v>
      </c>
      <c r="F65" s="191"/>
      <c r="H65" s="192" t="s">
        <v>2495</v>
      </c>
      <c r="I65" s="190"/>
      <c r="J65" s="202">
        <f>J54*(J55/100)*J58</f>
        <v>0</v>
      </c>
      <c r="K65" s="190" t="s">
        <v>2488</v>
      </c>
      <c r="L65" s="191"/>
    </row>
    <row r="66" spans="2:12" ht="15" thickBot="1">
      <c r="B66" s="188"/>
      <c r="C66" s="190"/>
      <c r="D66" s="202">
        <f>D65/1000</f>
        <v>0</v>
      </c>
      <c r="E66" s="190" t="s">
        <v>2489</v>
      </c>
      <c r="F66" s="191"/>
      <c r="H66" s="188"/>
      <c r="I66" s="190"/>
      <c r="J66" s="202">
        <f>J65/1000</f>
        <v>0</v>
      </c>
      <c r="K66" s="190" t="s">
        <v>2489</v>
      </c>
      <c r="L66" s="191"/>
    </row>
    <row r="67" spans="2:12" ht="15" thickBot="1">
      <c r="B67" s="188"/>
      <c r="C67" s="190"/>
      <c r="D67" s="203">
        <f>D66*D59</f>
        <v>0</v>
      </c>
      <c r="E67" s="190" t="s">
        <v>2490</v>
      </c>
      <c r="F67" s="191"/>
      <c r="H67" s="188"/>
      <c r="I67" s="190"/>
      <c r="J67" s="203">
        <f>J66*J59</f>
        <v>0</v>
      </c>
      <c r="K67" s="190" t="s">
        <v>2490</v>
      </c>
      <c r="L67" s="191"/>
    </row>
    <row r="68" spans="2:12" ht="13.8" thickBot="1">
      <c r="B68" s="195"/>
      <c r="C68" s="189"/>
      <c r="D68" s="204"/>
      <c r="E68" s="189"/>
      <c r="F68" s="191"/>
      <c r="H68" s="195"/>
      <c r="I68" s="189"/>
      <c r="J68" s="204"/>
      <c r="K68" s="189"/>
      <c r="L68" s="191"/>
    </row>
    <row r="69" spans="2:12" ht="15" thickBot="1">
      <c r="B69" s="196" t="s">
        <v>847</v>
      </c>
      <c r="C69" s="193"/>
      <c r="D69" s="203">
        <f>D63+D67</f>
        <v>0</v>
      </c>
      <c r="E69" s="745" t="s">
        <v>2491</v>
      </c>
      <c r="F69" s="191"/>
      <c r="H69" s="196" t="s">
        <v>847</v>
      </c>
      <c r="I69" s="193"/>
      <c r="J69" s="203">
        <f>J63+J67</f>
        <v>0</v>
      </c>
      <c r="K69" s="745" t="s">
        <v>2491</v>
      </c>
      <c r="L69" s="191"/>
    </row>
    <row r="70" spans="2:12">
      <c r="B70" s="195"/>
      <c r="C70" s="189"/>
      <c r="D70" s="189"/>
      <c r="E70" s="189"/>
      <c r="F70" s="191"/>
      <c r="H70" s="195"/>
      <c r="I70" s="189"/>
      <c r="J70" s="189"/>
      <c r="K70" s="189"/>
      <c r="L70" s="191"/>
    </row>
    <row r="71" spans="2:12">
      <c r="B71" s="197"/>
      <c r="C71" s="198"/>
      <c r="D71" s="198"/>
      <c r="E71" s="198"/>
      <c r="F71" s="199"/>
      <c r="H71" s="197"/>
      <c r="I71" s="198"/>
      <c r="J71" s="198"/>
      <c r="K71" s="198"/>
      <c r="L71" s="199"/>
    </row>
  </sheetData>
  <mergeCells count="1">
    <mergeCell ref="A2:L2"/>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63300"/>
  </sheetPr>
  <dimension ref="A1:G89"/>
  <sheetViews>
    <sheetView zoomScale="85" zoomScaleNormal="85" workbookViewId="0">
      <selection activeCell="G14" sqref="G14"/>
    </sheetView>
  </sheetViews>
  <sheetFormatPr defaultColWidth="9.33203125" defaultRowHeight="13.2"/>
  <cols>
    <col min="1" max="1" width="5.6640625" style="162" customWidth="1"/>
    <col min="2" max="2" width="19.44140625" style="162" bestFit="1" customWidth="1"/>
    <col min="3" max="3" width="18.6640625" style="162" bestFit="1" customWidth="1"/>
    <col min="4" max="4" width="17.33203125" style="162" customWidth="1"/>
    <col min="5" max="5" width="21.44140625" style="162" customWidth="1"/>
    <col min="6" max="9" width="35.6640625" style="162" customWidth="1"/>
    <col min="10" max="16384" width="9.33203125" style="162"/>
  </cols>
  <sheetData>
    <row r="1" spans="1:7" s="205" customFormat="1">
      <c r="A1" s="122" t="s">
        <v>763</v>
      </c>
      <c r="B1" s="122"/>
      <c r="C1" s="122"/>
      <c r="D1" s="122"/>
      <c r="E1" s="122"/>
      <c r="F1" s="122"/>
      <c r="G1" s="122"/>
    </row>
    <row r="2" spans="1:7" s="99" customFormat="1">
      <c r="A2" s="361" t="s">
        <v>868</v>
      </c>
      <c r="B2" s="362"/>
      <c r="C2" s="362"/>
      <c r="D2" s="362"/>
      <c r="E2" s="362"/>
      <c r="F2" s="362"/>
      <c r="G2" s="362"/>
    </row>
    <row r="3" spans="1:7" s="99" customFormat="1">
      <c r="A3" s="209"/>
      <c r="B3" s="210"/>
      <c r="C3" s="210"/>
      <c r="D3" s="210"/>
      <c r="E3" s="210"/>
      <c r="F3" s="210"/>
    </row>
    <row r="4" spans="1:7" s="99" customFormat="1">
      <c r="A4" s="120" t="s">
        <v>254</v>
      </c>
      <c r="B4" s="1413">
        <f>'City information'!$C$4</f>
        <v>0</v>
      </c>
      <c r="C4" s="120"/>
      <c r="D4" s="120"/>
      <c r="E4" s="857"/>
      <c r="F4" s="857"/>
      <c r="G4" s="857"/>
    </row>
    <row r="5" spans="1:7" s="99" customFormat="1">
      <c r="A5" s="120" t="s">
        <v>140</v>
      </c>
      <c r="B5" s="1413">
        <f>'City information'!$C$5</f>
        <v>2562</v>
      </c>
      <c r="C5" s="120"/>
      <c r="D5" s="120"/>
      <c r="E5" s="857"/>
      <c r="F5" s="857"/>
      <c r="G5" s="857"/>
    </row>
    <row r="6" spans="1:7" s="99" customFormat="1">
      <c r="A6" s="126"/>
      <c r="B6" s="126"/>
      <c r="C6" s="126"/>
      <c r="D6" s="126"/>
      <c r="E6" s="210"/>
      <c r="F6" s="210"/>
    </row>
    <row r="7" spans="1:7" s="99" customFormat="1">
      <c r="A7" s="1285">
        <v>1</v>
      </c>
      <c r="B7" s="1207" t="s">
        <v>1963</v>
      </c>
      <c r="C7" s="1208"/>
      <c r="D7" s="1208"/>
      <c r="E7" s="1208"/>
      <c r="F7" s="1208"/>
      <c r="G7" s="1208"/>
    </row>
    <row r="8" spans="1:7" s="99" customFormat="1" ht="14.4">
      <c r="B8" s="162" t="s">
        <v>893</v>
      </c>
      <c r="C8" s="1209"/>
      <c r="D8" s="162" t="s">
        <v>2472</v>
      </c>
      <c r="E8" s="1088"/>
      <c r="F8" s="1088"/>
      <c r="G8" s="210"/>
    </row>
    <row r="9" spans="1:7" s="99" customFormat="1" ht="14.4">
      <c r="B9" s="162"/>
      <c r="C9" s="172">
        <f>C8/365</f>
        <v>0</v>
      </c>
      <c r="D9" s="164" t="s">
        <v>2468</v>
      </c>
      <c r="E9" s="1088"/>
      <c r="F9" s="1088"/>
      <c r="G9" s="210"/>
    </row>
    <row r="10" spans="1:7" s="99" customFormat="1" ht="14.4">
      <c r="B10" s="162" t="s">
        <v>895</v>
      </c>
      <c r="C10" s="1209"/>
      <c r="D10" s="162" t="s">
        <v>2472</v>
      </c>
      <c r="E10" s="1088"/>
      <c r="F10" s="1088"/>
      <c r="G10" s="210"/>
    </row>
    <row r="11" spans="1:7" s="99" customFormat="1" ht="14.4">
      <c r="B11" s="162"/>
      <c r="C11" s="172">
        <f>C10/365</f>
        <v>0</v>
      </c>
      <c r="D11" s="164" t="s">
        <v>2468</v>
      </c>
      <c r="E11" s="1088"/>
      <c r="F11" s="1088"/>
      <c r="G11" s="210"/>
    </row>
    <row r="12" spans="1:7" s="99" customFormat="1" ht="14.4">
      <c r="B12" s="162" t="s">
        <v>896</v>
      </c>
      <c r="C12" s="172">
        <f>C9+C11</f>
        <v>0</v>
      </c>
      <c r="D12" s="164" t="s">
        <v>2468</v>
      </c>
      <c r="E12" s="1088"/>
      <c r="F12" s="1088"/>
      <c r="G12" s="210"/>
    </row>
    <row r="13" spans="1:7" s="99" customFormat="1" ht="14.4">
      <c r="B13" s="162" t="s">
        <v>897</v>
      </c>
      <c r="C13" s="172">
        <f>((C8+C10)*80%)/365</f>
        <v>0</v>
      </c>
      <c r="D13" s="164" t="s">
        <v>2468</v>
      </c>
      <c r="E13" s="1088"/>
      <c r="F13" s="1088"/>
      <c r="G13" s="210"/>
    </row>
    <row r="14" spans="1:7" s="99" customFormat="1">
      <c r="B14" s="1088"/>
      <c r="C14" s="1088"/>
      <c r="D14" s="1088"/>
      <c r="E14" s="1088"/>
      <c r="F14" s="1088"/>
      <c r="G14" s="210"/>
    </row>
    <row r="15" spans="1:7" s="99" customFormat="1">
      <c r="A15" s="1285">
        <v>2</v>
      </c>
      <c r="B15" s="1207" t="s">
        <v>2099</v>
      </c>
      <c r="C15" s="1208"/>
      <c r="D15" s="1208"/>
      <c r="E15" s="1208"/>
      <c r="F15" s="1208"/>
      <c r="G15" s="1208"/>
    </row>
    <row r="16" spans="1:7" s="99" customFormat="1">
      <c r="A16" s="1286"/>
      <c r="B16" s="1287" t="s">
        <v>1961</v>
      </c>
      <c r="C16" s="1088"/>
      <c r="D16" s="1088"/>
      <c r="E16" s="1088"/>
      <c r="F16" s="1088"/>
      <c r="G16" s="1088"/>
    </row>
    <row r="17" spans="1:7">
      <c r="B17" s="211"/>
      <c r="C17" s="212" t="s">
        <v>870</v>
      </c>
      <c r="D17" s="212" t="s">
        <v>2097</v>
      </c>
      <c r="E17" s="212" t="s">
        <v>2098</v>
      </c>
      <c r="F17" s="213" t="s">
        <v>167</v>
      </c>
      <c r="G17" s="931"/>
    </row>
    <row r="18" spans="1:7" ht="14.4">
      <c r="B18" s="165" t="s">
        <v>872</v>
      </c>
      <c r="C18" s="165" t="s">
        <v>2511</v>
      </c>
      <c r="D18" s="1210"/>
      <c r="E18" s="1210"/>
      <c r="F18" s="1645">
        <f>SUM(D18:E18)</f>
        <v>0</v>
      </c>
      <c r="G18" s="932"/>
    </row>
    <row r="19" spans="1:7" ht="14.4">
      <c r="B19" s="165" t="s">
        <v>872</v>
      </c>
      <c r="C19" s="165" t="s">
        <v>2512</v>
      </c>
      <c r="D19" s="1210"/>
      <c r="E19" s="1210"/>
      <c r="F19" s="1645">
        <f>SUM(D19:E19)</f>
        <v>0</v>
      </c>
      <c r="G19" s="932"/>
    </row>
    <row r="20" spans="1:7">
      <c r="B20" s="165" t="s">
        <v>879</v>
      </c>
      <c r="C20" s="165" t="s">
        <v>880</v>
      </c>
      <c r="D20" s="1211"/>
      <c r="E20" s="1211"/>
      <c r="F20" s="1645">
        <f>IFERROR((D20*D19+E20*E19)/SUM(D19:E19),0)</f>
        <v>0</v>
      </c>
      <c r="G20" s="932"/>
    </row>
    <row r="21" spans="1:7" ht="14.4">
      <c r="B21" s="165" t="s">
        <v>2508</v>
      </c>
      <c r="C21" s="165" t="s">
        <v>362</v>
      </c>
      <c r="D21" s="1210"/>
      <c r="E21" s="1210"/>
      <c r="F21" s="1645">
        <f>SUM(D21:E21)</f>
        <v>0</v>
      </c>
      <c r="G21" s="932"/>
    </row>
    <row r="22" spans="1:7">
      <c r="B22" s="169" t="s">
        <v>885</v>
      </c>
      <c r="C22" s="165" t="s">
        <v>880</v>
      </c>
      <c r="D22" s="1211"/>
      <c r="E22" s="1211"/>
      <c r="F22" s="1645">
        <f>IFERROR((D22*D19+E22*E19)/SUM(D19:E19),0)</f>
        <v>0</v>
      </c>
      <c r="G22" s="932"/>
    </row>
    <row r="23" spans="1:7" ht="14.4">
      <c r="B23" s="169" t="s">
        <v>886</v>
      </c>
      <c r="C23" s="165" t="s">
        <v>2510</v>
      </c>
      <c r="D23" s="1210"/>
      <c r="E23" s="1210"/>
      <c r="F23" s="1415">
        <f>SUM(D23:E23)</f>
        <v>0</v>
      </c>
      <c r="G23" s="933"/>
    </row>
    <row r="24" spans="1:7" ht="14.4">
      <c r="B24" s="169" t="s">
        <v>2509</v>
      </c>
      <c r="C24" s="165" t="s">
        <v>2505</v>
      </c>
      <c r="D24" s="1416">
        <f>D18*D22*D23/10^6</f>
        <v>0</v>
      </c>
      <c r="E24" s="1416">
        <f>E18*E22*E23/10^6</f>
        <v>0</v>
      </c>
      <c r="F24" s="1417">
        <f>SUM(D24:E24)</f>
        <v>0</v>
      </c>
      <c r="G24" s="933"/>
    </row>
    <row r="25" spans="1:7">
      <c r="B25" s="222"/>
    </row>
    <row r="26" spans="1:7">
      <c r="A26" s="1286"/>
      <c r="B26" s="1287" t="s">
        <v>1962</v>
      </c>
      <c r="C26" s="1088"/>
      <c r="D26" s="1088"/>
      <c r="E26" s="1088"/>
      <c r="F26" s="1088"/>
      <c r="G26" s="1088"/>
    </row>
    <row r="27" spans="1:7">
      <c r="B27" s="211"/>
      <c r="C27" s="212" t="s">
        <v>870</v>
      </c>
      <c r="D27" s="212" t="s">
        <v>899</v>
      </c>
      <c r="E27" s="212" t="s">
        <v>900</v>
      </c>
      <c r="F27" s="1088"/>
      <c r="G27" s="164"/>
    </row>
    <row r="28" spans="1:7" ht="14.4">
      <c r="B28" s="165" t="s">
        <v>872</v>
      </c>
      <c r="C28" s="165" t="s">
        <v>2511</v>
      </c>
      <c r="D28" s="1210"/>
      <c r="E28" s="1210"/>
      <c r="F28" s="1088"/>
      <c r="G28" s="164"/>
    </row>
    <row r="29" spans="1:7" ht="14.4">
      <c r="B29" s="165" t="s">
        <v>872</v>
      </c>
      <c r="C29" s="165" t="s">
        <v>2512</v>
      </c>
      <c r="D29" s="1210"/>
      <c r="E29" s="1210"/>
      <c r="F29" s="1088"/>
    </row>
    <row r="30" spans="1:7">
      <c r="B30" s="165" t="s">
        <v>879</v>
      </c>
      <c r="C30" s="165" t="s">
        <v>880</v>
      </c>
      <c r="D30" s="1211"/>
      <c r="E30" s="1211"/>
      <c r="F30" s="1088"/>
    </row>
    <row r="31" spans="1:7" ht="14.4">
      <c r="B31" s="165" t="s">
        <v>2508</v>
      </c>
      <c r="C31" s="165" t="s">
        <v>362</v>
      </c>
      <c r="D31" s="1210"/>
      <c r="E31" s="1210"/>
      <c r="F31" s="1088"/>
    </row>
    <row r="32" spans="1:7">
      <c r="B32" s="169" t="s">
        <v>885</v>
      </c>
      <c r="C32" s="165" t="s">
        <v>880</v>
      </c>
      <c r="D32" s="1211"/>
      <c r="E32" s="1211"/>
      <c r="F32" s="1088"/>
    </row>
    <row r="33" spans="1:7" ht="14.4">
      <c r="B33" s="169" t="s">
        <v>886</v>
      </c>
      <c r="C33" s="165" t="s">
        <v>2510</v>
      </c>
      <c r="D33" s="1210"/>
      <c r="E33" s="1210"/>
      <c r="F33" s="1088"/>
    </row>
    <row r="34" spans="1:7" ht="14.4">
      <c r="B34" s="169" t="s">
        <v>2509</v>
      </c>
      <c r="C34" s="165" t="s">
        <v>2505</v>
      </c>
      <c r="D34" s="1416">
        <f>D28*D32*D33/10^6</f>
        <v>0</v>
      </c>
      <c r="E34" s="1416">
        <f>E28*E32*E33/10^6</f>
        <v>0</v>
      </c>
      <c r="F34" s="1088"/>
    </row>
    <row r="35" spans="1:7">
      <c r="F35" s="1088"/>
    </row>
    <row r="36" spans="1:7" s="128" customFormat="1">
      <c r="A36" s="1285">
        <v>3</v>
      </c>
      <c r="B36" s="1207" t="s">
        <v>869</v>
      </c>
      <c r="C36" s="1208"/>
      <c r="D36" s="1208"/>
      <c r="E36" s="1208"/>
      <c r="F36" s="1208"/>
      <c r="G36" s="1208"/>
    </row>
    <row r="37" spans="1:7">
      <c r="B37" s="163" t="s">
        <v>871</v>
      </c>
      <c r="C37" s="164"/>
      <c r="D37" s="164"/>
      <c r="E37" s="164"/>
      <c r="F37" s="164"/>
    </row>
    <row r="38" spans="1:7">
      <c r="B38" s="164" t="s">
        <v>873</v>
      </c>
      <c r="C38" s="164" t="s">
        <v>874</v>
      </c>
      <c r="D38" s="166">
        <f>'Waste_Input DATA '!C20</f>
        <v>0</v>
      </c>
      <c r="E38" s="164" t="s">
        <v>875</v>
      </c>
      <c r="F38" s="164"/>
    </row>
    <row r="39" spans="1:7">
      <c r="B39" s="164" t="s">
        <v>876</v>
      </c>
      <c r="C39" s="164" t="s">
        <v>877</v>
      </c>
      <c r="D39" s="166">
        <f>EF_Waste!B104</f>
        <v>40</v>
      </c>
      <c r="E39" s="164"/>
      <c r="F39" s="164" t="s">
        <v>878</v>
      </c>
    </row>
    <row r="40" spans="1:7">
      <c r="B40" s="164" t="s">
        <v>152</v>
      </c>
      <c r="C40" s="164" t="s">
        <v>881</v>
      </c>
      <c r="D40" s="166">
        <v>1</v>
      </c>
      <c r="E40" s="164"/>
      <c r="F40" s="164" t="s">
        <v>882</v>
      </c>
    </row>
    <row r="41" spans="1:7">
      <c r="B41" s="167" t="s">
        <v>883</v>
      </c>
      <c r="C41" s="168"/>
      <c r="D41" s="1647">
        <f>D38*D39*D40*0.001*365</f>
        <v>0</v>
      </c>
      <c r="E41" s="167" t="s">
        <v>884</v>
      </c>
      <c r="F41" s="164"/>
    </row>
    <row r="42" spans="1:7">
      <c r="B42" s="170"/>
      <c r="E42" s="170"/>
      <c r="F42" s="164"/>
    </row>
    <row r="43" spans="1:7">
      <c r="B43" s="167" t="s">
        <v>887</v>
      </c>
      <c r="C43" s="163" t="s">
        <v>888</v>
      </c>
      <c r="D43" s="166"/>
      <c r="E43" s="171"/>
      <c r="F43" s="164"/>
    </row>
    <row r="44" spans="1:7" ht="14.4">
      <c r="B44" s="171" t="s">
        <v>889</v>
      </c>
      <c r="D44" s="1646">
        <f>EF_Waste!$A$74</f>
        <v>0.6</v>
      </c>
      <c r="E44" s="171" t="s">
        <v>2513</v>
      </c>
      <c r="F44" s="164" t="s">
        <v>890</v>
      </c>
    </row>
    <row r="45" spans="1:7">
      <c r="B45" s="171" t="s">
        <v>891</v>
      </c>
      <c r="D45" s="1646">
        <f>EF_Waste!$C$91</f>
        <v>0.5</v>
      </c>
      <c r="E45" s="171"/>
      <c r="F45" s="164" t="s">
        <v>892</v>
      </c>
    </row>
    <row r="46" spans="1:7" ht="14.4">
      <c r="B46" s="167" t="s">
        <v>887</v>
      </c>
      <c r="C46" s="168"/>
      <c r="D46" s="1648">
        <f>D44*D45</f>
        <v>0.3</v>
      </c>
      <c r="E46" s="167" t="s">
        <v>2514</v>
      </c>
      <c r="F46" s="164"/>
    </row>
    <row r="47" spans="1:7">
      <c r="B47" s="170"/>
      <c r="E47" s="170"/>
      <c r="F47" s="164"/>
    </row>
    <row r="48" spans="1:7">
      <c r="B48" s="171"/>
      <c r="C48" s="164"/>
      <c r="D48" s="166"/>
      <c r="E48" s="171"/>
      <c r="F48" s="164"/>
    </row>
    <row r="49" spans="1:7" ht="14.4">
      <c r="B49" s="167" t="s">
        <v>2518</v>
      </c>
      <c r="C49" s="163" t="s">
        <v>894</v>
      </c>
      <c r="D49" s="166">
        <f>D41*D46</f>
        <v>0</v>
      </c>
      <c r="E49" s="171" t="s">
        <v>2515</v>
      </c>
      <c r="F49" s="164"/>
    </row>
    <row r="50" spans="1:7" ht="14.4">
      <c r="B50" s="171" t="s">
        <v>2519</v>
      </c>
      <c r="C50" s="164"/>
      <c r="D50" s="1260">
        <f>GPC!$F$85</f>
        <v>28</v>
      </c>
      <c r="E50" s="171"/>
      <c r="F50" s="164"/>
    </row>
    <row r="51" spans="1:7" ht="15" thickBot="1">
      <c r="B51" s="171" t="s">
        <v>2520</v>
      </c>
      <c r="C51" s="164"/>
      <c r="D51" s="166">
        <f>D49*D50</f>
        <v>0</v>
      </c>
      <c r="E51" s="171" t="s">
        <v>2516</v>
      </c>
      <c r="F51" s="164"/>
    </row>
    <row r="52" spans="1:7" ht="15" thickBot="1">
      <c r="B52" s="164"/>
      <c r="C52" s="164"/>
      <c r="D52" s="1777">
        <f>D51/1000</f>
        <v>0</v>
      </c>
      <c r="E52" s="167" t="s">
        <v>2517</v>
      </c>
      <c r="F52" s="164"/>
    </row>
    <row r="54" spans="1:7" s="128" customFormat="1">
      <c r="A54" s="1285">
        <v>4</v>
      </c>
      <c r="B54" s="1207" t="s">
        <v>2100</v>
      </c>
      <c r="C54" s="1208"/>
      <c r="D54" s="1208"/>
      <c r="E54" s="1208"/>
      <c r="F54" s="1208"/>
      <c r="G54" s="1208"/>
    </row>
    <row r="55" spans="1:7" ht="14.4">
      <c r="B55" s="164" t="s">
        <v>901</v>
      </c>
      <c r="D55" s="173">
        <f>C13</f>
        <v>0</v>
      </c>
      <c r="E55" s="164" t="s">
        <v>2468</v>
      </c>
      <c r="F55" s="164" t="s">
        <v>902</v>
      </c>
    </row>
    <row r="56" spans="1:7" ht="14.4">
      <c r="B56" s="164" t="s">
        <v>903</v>
      </c>
      <c r="C56" s="164" t="s">
        <v>904</v>
      </c>
      <c r="D56" s="173">
        <f>F19</f>
        <v>0</v>
      </c>
      <c r="E56" s="164" t="s">
        <v>2468</v>
      </c>
      <c r="F56" s="164"/>
    </row>
    <row r="57" spans="1:7" ht="14.4">
      <c r="B57" s="164"/>
      <c r="C57" s="164" t="s">
        <v>905</v>
      </c>
      <c r="D57" s="173">
        <f>D29</f>
        <v>0</v>
      </c>
      <c r="E57" s="164" t="s">
        <v>2468</v>
      </c>
      <c r="F57" s="164"/>
    </row>
    <row r="58" spans="1:7" ht="14.4">
      <c r="B58" s="164"/>
      <c r="C58" s="164" t="s">
        <v>906</v>
      </c>
      <c r="D58" s="173">
        <f>E29</f>
        <v>0</v>
      </c>
      <c r="E58" s="164" t="s">
        <v>2468</v>
      </c>
      <c r="F58" s="164"/>
    </row>
    <row r="59" spans="1:7">
      <c r="B59" s="164"/>
      <c r="C59" s="164"/>
      <c r="D59" s="173"/>
      <c r="E59" s="164"/>
      <c r="F59" s="164"/>
    </row>
    <row r="60" spans="1:7" ht="14.4">
      <c r="B60" s="163" t="s">
        <v>907</v>
      </c>
      <c r="C60" s="164"/>
      <c r="D60" s="166">
        <f>D55-D56-D57-D58</f>
        <v>0</v>
      </c>
      <c r="E60" s="164" t="s">
        <v>2468</v>
      </c>
      <c r="F60" s="164"/>
    </row>
    <row r="61" spans="1:7">
      <c r="B61" s="164"/>
      <c r="C61" s="164"/>
      <c r="D61" s="166"/>
      <c r="E61" s="164"/>
      <c r="F61" s="164"/>
    </row>
    <row r="62" spans="1:7">
      <c r="B62" s="164"/>
      <c r="C62" s="164" t="s">
        <v>876</v>
      </c>
      <c r="D62" s="166">
        <v>150</v>
      </c>
      <c r="E62" s="164" t="s">
        <v>880</v>
      </c>
      <c r="F62" s="174"/>
    </row>
    <row r="63" spans="1:7" ht="14.4">
      <c r="B63" s="164"/>
      <c r="C63" s="164" t="s">
        <v>876</v>
      </c>
      <c r="D63" s="174">
        <f>D62*1000</f>
        <v>150000</v>
      </c>
      <c r="E63" s="164" t="s">
        <v>2521</v>
      </c>
      <c r="F63" s="164"/>
    </row>
    <row r="64" spans="1:7">
      <c r="B64" s="164"/>
      <c r="C64" s="164" t="s">
        <v>152</v>
      </c>
      <c r="D64" s="175">
        <v>1</v>
      </c>
      <c r="E64" s="164"/>
      <c r="F64" s="174"/>
    </row>
    <row r="65" spans="1:7">
      <c r="B65" s="176" t="s">
        <v>908</v>
      </c>
      <c r="C65" s="163" t="s">
        <v>883</v>
      </c>
      <c r="D65" s="1649">
        <f>D60*D63*D64</f>
        <v>0</v>
      </c>
      <c r="E65" s="163" t="s">
        <v>909</v>
      </c>
      <c r="F65" s="174"/>
    </row>
    <row r="66" spans="1:7">
      <c r="B66" s="164"/>
      <c r="C66" s="164"/>
      <c r="D66" s="1650">
        <f>D65*365</f>
        <v>0</v>
      </c>
      <c r="E66" s="164" t="s">
        <v>910</v>
      </c>
      <c r="F66" s="174"/>
    </row>
    <row r="67" spans="1:7">
      <c r="B67" s="164"/>
      <c r="D67" s="1651">
        <f>D66/10^6</f>
        <v>0</v>
      </c>
      <c r="E67" s="164" t="s">
        <v>911</v>
      </c>
      <c r="F67" s="164"/>
    </row>
    <row r="68" spans="1:7">
      <c r="D68" s="170"/>
      <c r="F68" s="174"/>
      <c r="G68" s="164"/>
    </row>
    <row r="69" spans="1:7">
      <c r="B69" s="163" t="s">
        <v>887</v>
      </c>
      <c r="C69" s="163" t="s">
        <v>888</v>
      </c>
      <c r="D69" s="1652"/>
      <c r="E69" s="164"/>
      <c r="F69" s="174"/>
      <c r="G69" s="164"/>
    </row>
    <row r="70" spans="1:7" ht="14.4">
      <c r="B70" s="164" t="s">
        <v>889</v>
      </c>
      <c r="D70" s="1653">
        <f>EF_Waste!$A$74</f>
        <v>0.6</v>
      </c>
      <c r="E70" s="164" t="s">
        <v>2522</v>
      </c>
      <c r="F70" s="164" t="s">
        <v>890</v>
      </c>
      <c r="G70" s="164"/>
    </row>
    <row r="71" spans="1:7">
      <c r="B71" s="164" t="s">
        <v>891</v>
      </c>
      <c r="D71" s="1653">
        <f>EF_Waste!$C$81</f>
        <v>0.1</v>
      </c>
      <c r="E71" s="164"/>
      <c r="F71" s="164" t="s">
        <v>892</v>
      </c>
      <c r="G71" s="164"/>
    </row>
    <row r="72" spans="1:7" ht="14.4">
      <c r="B72" s="163" t="s">
        <v>887</v>
      </c>
      <c r="C72" s="163"/>
      <c r="D72" s="1654">
        <f>D70*D71</f>
        <v>0.06</v>
      </c>
      <c r="E72" s="163" t="s">
        <v>2523</v>
      </c>
      <c r="F72" s="164"/>
      <c r="G72" s="164"/>
    </row>
    <row r="73" spans="1:7">
      <c r="D73" s="170"/>
      <c r="F73" s="164"/>
      <c r="G73" s="164"/>
    </row>
    <row r="74" spans="1:7">
      <c r="B74" s="176" t="s">
        <v>898</v>
      </c>
      <c r="C74" s="163" t="s">
        <v>883</v>
      </c>
      <c r="D74" s="1651">
        <f>D67-(D56*365*F20/10^3)-(D57*365*D30/10^3)-(D58*365*E30/10^3)</f>
        <v>0</v>
      </c>
      <c r="E74" s="163" t="s">
        <v>912</v>
      </c>
      <c r="F74" s="164"/>
      <c r="G74" s="164"/>
    </row>
    <row r="75" spans="1:7" ht="14.4">
      <c r="B75" s="167" t="s">
        <v>2518</v>
      </c>
      <c r="C75" s="163" t="s">
        <v>894</v>
      </c>
      <c r="D75" s="1652">
        <f>D74*D72</f>
        <v>0</v>
      </c>
      <c r="E75" s="164" t="s">
        <v>2524</v>
      </c>
      <c r="F75" s="164"/>
      <c r="G75" s="164"/>
    </row>
    <row r="76" spans="1:7" ht="14.4">
      <c r="B76" s="171" t="s">
        <v>2519</v>
      </c>
      <c r="C76" s="164"/>
      <c r="D76" s="1260">
        <f>GPC!$F$85</f>
        <v>28</v>
      </c>
      <c r="E76" s="164"/>
      <c r="F76" s="164"/>
      <c r="G76" s="164"/>
    </row>
    <row r="77" spans="1:7" ht="15" thickBot="1">
      <c r="B77" s="171" t="s">
        <v>2520</v>
      </c>
      <c r="C77" s="164"/>
      <c r="D77" s="166">
        <f>D75*D76</f>
        <v>0</v>
      </c>
      <c r="E77" s="164" t="s">
        <v>2525</v>
      </c>
      <c r="F77" s="164"/>
      <c r="G77" s="164"/>
    </row>
    <row r="78" spans="1:7" ht="15" thickBot="1">
      <c r="B78" s="164"/>
      <c r="C78" s="164"/>
      <c r="D78" s="1777">
        <f>D77/1000</f>
        <v>0</v>
      </c>
      <c r="E78" s="164" t="s">
        <v>2505</v>
      </c>
      <c r="F78" s="164"/>
      <c r="G78" s="164"/>
    </row>
    <row r="79" spans="1:7">
      <c r="F79" s="164"/>
      <c r="G79" s="164"/>
    </row>
    <row r="80" spans="1:7" s="128" customFormat="1">
      <c r="A80" s="1285">
        <v>5</v>
      </c>
      <c r="B80" s="1207" t="s">
        <v>2101</v>
      </c>
      <c r="C80" s="1208"/>
      <c r="D80" s="1208"/>
      <c r="E80" s="1208"/>
      <c r="F80" s="1208"/>
      <c r="G80" s="1208"/>
    </row>
    <row r="81" spans="2:7" ht="14.4">
      <c r="B81" s="164" t="s">
        <v>886</v>
      </c>
      <c r="D81" s="164">
        <v>1</v>
      </c>
      <c r="E81" s="164" t="s">
        <v>2526</v>
      </c>
      <c r="F81" s="164" t="s">
        <v>913</v>
      </c>
    </row>
    <row r="82" spans="2:7">
      <c r="B82" s="164" t="s">
        <v>914</v>
      </c>
      <c r="D82" s="1655">
        <f>F21</f>
        <v>0</v>
      </c>
      <c r="E82" s="164"/>
      <c r="F82" s="164"/>
      <c r="G82" s="164"/>
    </row>
    <row r="83" spans="2:7" ht="14.4">
      <c r="B83" s="171" t="s">
        <v>2519</v>
      </c>
      <c r="D83" s="1260">
        <f>GPC!$F$85</f>
        <v>28</v>
      </c>
      <c r="E83" s="164"/>
      <c r="F83" s="164"/>
      <c r="G83" s="164"/>
    </row>
    <row r="84" spans="2:7" ht="15" thickBot="1">
      <c r="B84" s="164" t="s">
        <v>2527</v>
      </c>
      <c r="D84" s="174">
        <f>D82*D81</f>
        <v>0</v>
      </c>
      <c r="E84" s="164" t="s">
        <v>2524</v>
      </c>
      <c r="F84" s="164"/>
      <c r="G84" s="164"/>
    </row>
    <row r="85" spans="2:7" ht="15" thickBot="1">
      <c r="B85" s="163" t="s">
        <v>2528</v>
      </c>
      <c r="C85" s="176"/>
      <c r="D85" s="1777">
        <f>D84*D83/1000</f>
        <v>0</v>
      </c>
      <c r="E85" s="163" t="s">
        <v>2502</v>
      </c>
      <c r="F85" s="164"/>
      <c r="G85" s="164"/>
    </row>
    <row r="87" spans="2:7">
      <c r="D87" s="164"/>
      <c r="E87" s="164"/>
      <c r="F87" s="164"/>
    </row>
    <row r="88" spans="2:7">
      <c r="D88" s="164"/>
      <c r="E88" s="164"/>
    </row>
    <row r="89" spans="2:7">
      <c r="D89" s="164"/>
      <c r="E89" s="164"/>
    </row>
  </sheetData>
  <phoneticPr fontId="50" type="noConversion"/>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0.499984740745262"/>
  </sheetPr>
  <dimension ref="A1:P289"/>
  <sheetViews>
    <sheetView zoomScale="70" zoomScaleNormal="70" workbookViewId="0">
      <selection activeCell="I40" sqref="I40"/>
    </sheetView>
  </sheetViews>
  <sheetFormatPr defaultColWidth="9.33203125" defaultRowHeight="13.2"/>
  <cols>
    <col min="1" max="1" width="58.33203125" style="99" customWidth="1"/>
    <col min="2" max="2" width="22.44140625" style="99" customWidth="1"/>
    <col min="3" max="3" width="25.6640625" style="99" customWidth="1"/>
    <col min="4" max="4" width="22.6640625" style="99" customWidth="1"/>
    <col min="5" max="5" width="20.44140625" style="99" customWidth="1"/>
    <col min="6" max="6" width="23.33203125" style="99" customWidth="1"/>
    <col min="7" max="13" width="20.44140625" style="99" customWidth="1"/>
    <col min="14" max="16" width="18.6640625" style="99" customWidth="1"/>
    <col min="17" max="16384" width="9.33203125" style="99"/>
  </cols>
  <sheetData>
    <row r="1" spans="1:15" s="205" customFormat="1">
      <c r="A1" s="122" t="s">
        <v>915</v>
      </c>
      <c r="B1" s="122"/>
      <c r="C1" s="122"/>
      <c r="D1" s="122"/>
      <c r="E1" s="122"/>
      <c r="F1" s="122"/>
      <c r="G1" s="122"/>
      <c r="H1" s="122"/>
      <c r="I1" s="122"/>
      <c r="J1" s="122"/>
      <c r="K1" s="122"/>
      <c r="L1" s="122"/>
      <c r="M1" s="122"/>
      <c r="N1" s="122"/>
      <c r="O1" s="122"/>
    </row>
    <row r="3" spans="1:15">
      <c r="A3" s="120" t="s">
        <v>254</v>
      </c>
      <c r="B3" s="1413">
        <f>'City information'!$C$4</f>
        <v>0</v>
      </c>
      <c r="C3" s="120"/>
      <c r="D3" s="120"/>
      <c r="E3" s="120"/>
      <c r="F3" s="120"/>
      <c r="G3" s="120"/>
      <c r="H3" s="120"/>
      <c r="I3" s="120"/>
      <c r="J3" s="120"/>
      <c r="K3" s="120"/>
      <c r="L3" s="120"/>
      <c r="M3" s="120"/>
      <c r="N3" s="120"/>
      <c r="O3" s="120"/>
    </row>
    <row r="4" spans="1:15">
      <c r="A4" s="120" t="s">
        <v>140</v>
      </c>
      <c r="B4" s="1413">
        <f>'City information'!$C$5</f>
        <v>2562</v>
      </c>
      <c r="C4" s="120"/>
      <c r="D4" s="120"/>
      <c r="E4" s="120"/>
      <c r="F4" s="120"/>
      <c r="G4" s="120"/>
      <c r="H4" s="120"/>
      <c r="I4" s="120"/>
      <c r="J4" s="120"/>
      <c r="K4" s="120"/>
      <c r="L4" s="120"/>
      <c r="M4" s="120"/>
      <c r="N4" s="120"/>
      <c r="O4" s="120"/>
    </row>
    <row r="6" spans="1:15" ht="14.4">
      <c r="A6" s="111" t="s">
        <v>447</v>
      </c>
      <c r="B6" s="112"/>
      <c r="C6" s="111"/>
      <c r="D6" s="111"/>
      <c r="E6" s="111"/>
      <c r="F6" s="1302" t="s">
        <v>443</v>
      </c>
      <c r="G6" s="1302" t="s">
        <v>444</v>
      </c>
      <c r="H6" s="1302" t="s">
        <v>445</v>
      </c>
      <c r="I6" s="1302" t="s">
        <v>2529</v>
      </c>
      <c r="J6" s="1302" t="s">
        <v>2530</v>
      </c>
      <c r="K6" s="1302" t="s">
        <v>2531</v>
      </c>
    </row>
    <row r="7" spans="1:15">
      <c r="A7" s="500" t="s">
        <v>916</v>
      </c>
      <c r="E7" s="863" t="s">
        <v>438</v>
      </c>
      <c r="F7" s="1658">
        <f>GPC!$F$84</f>
        <v>1</v>
      </c>
      <c r="G7" s="1658">
        <f>GPC!$F$85</f>
        <v>28</v>
      </c>
      <c r="H7" s="1658">
        <f>GPC!$F$87</f>
        <v>265</v>
      </c>
      <c r="I7" s="1658">
        <f>GPC!$F$88</f>
        <v>23500</v>
      </c>
      <c r="J7" s="1658">
        <f>GPC!$F$90</f>
        <v>11100</v>
      </c>
      <c r="K7" s="1658">
        <f>GPC!$F$89</f>
        <v>6630</v>
      </c>
    </row>
    <row r="8" spans="1:15">
      <c r="A8" s="496" t="s">
        <v>2301</v>
      </c>
      <c r="B8" s="496"/>
      <c r="C8" s="496"/>
      <c r="D8" s="496"/>
      <c r="E8" s="496"/>
      <c r="F8" s="496"/>
      <c r="G8" s="496"/>
      <c r="H8" s="496"/>
      <c r="I8" s="496"/>
      <c r="J8" s="496"/>
      <c r="K8" s="519"/>
      <c r="L8" s="519"/>
      <c r="M8" s="519"/>
      <c r="N8" s="519"/>
      <c r="O8" s="519"/>
    </row>
    <row r="9" spans="1:15">
      <c r="A9" s="642"/>
      <c r="B9" s="643"/>
      <c r="C9" s="643"/>
      <c r="D9" s="643"/>
      <c r="E9" s="643"/>
      <c r="F9" s="643"/>
      <c r="G9" s="643"/>
      <c r="H9" s="643"/>
      <c r="I9" s="643"/>
      <c r="J9" s="643"/>
    </row>
    <row r="10" spans="1:15">
      <c r="A10" s="859"/>
      <c r="B10" s="644" t="s">
        <v>917</v>
      </c>
      <c r="C10" s="644" t="s">
        <v>918</v>
      </c>
      <c r="D10" s="859" t="s">
        <v>919</v>
      </c>
      <c r="E10" s="644" t="s">
        <v>920</v>
      </c>
      <c r="F10" s="644" t="s">
        <v>921</v>
      </c>
      <c r="G10" s="644" t="s">
        <v>922</v>
      </c>
      <c r="H10" s="644" t="s">
        <v>923</v>
      </c>
      <c r="I10" s="644" t="s">
        <v>924</v>
      </c>
      <c r="J10" s="644" t="s">
        <v>925</v>
      </c>
    </row>
    <row r="11" spans="1:15" ht="39.6">
      <c r="A11" s="860" t="s">
        <v>926</v>
      </c>
      <c r="B11" s="645" t="s">
        <v>2297</v>
      </c>
      <c r="C11" s="645" t="s">
        <v>927</v>
      </c>
      <c r="D11" s="860" t="s">
        <v>928</v>
      </c>
      <c r="E11" s="645" t="s">
        <v>929</v>
      </c>
      <c r="F11" s="645" t="s">
        <v>930</v>
      </c>
      <c r="G11" s="645" t="s">
        <v>931</v>
      </c>
      <c r="H11" s="645" t="s">
        <v>2298</v>
      </c>
      <c r="I11" s="645" t="s">
        <v>932</v>
      </c>
      <c r="J11" s="645" t="s">
        <v>932</v>
      </c>
    </row>
    <row r="12" spans="1:15" ht="27.6">
      <c r="A12" s="862"/>
      <c r="B12" s="637" t="s">
        <v>933</v>
      </c>
      <c r="C12" s="637" t="s">
        <v>934</v>
      </c>
      <c r="D12" s="886" t="s">
        <v>933</v>
      </c>
      <c r="E12" s="637" t="s">
        <v>933</v>
      </c>
      <c r="F12" s="637" t="s">
        <v>933</v>
      </c>
      <c r="G12" s="637" t="s">
        <v>933</v>
      </c>
      <c r="H12" s="638" t="s">
        <v>935</v>
      </c>
      <c r="I12" s="637" t="s">
        <v>936</v>
      </c>
      <c r="J12" s="637" t="s">
        <v>937</v>
      </c>
    </row>
    <row r="13" spans="1:15" ht="15" thickBot="1">
      <c r="A13" s="646"/>
      <c r="B13" s="646"/>
      <c r="C13" s="646"/>
      <c r="D13" s="861" t="s">
        <v>938</v>
      </c>
      <c r="E13" s="861"/>
      <c r="F13" s="861"/>
      <c r="G13" s="861" t="s">
        <v>939</v>
      </c>
      <c r="H13" s="861"/>
      <c r="I13" s="861" t="s">
        <v>940</v>
      </c>
      <c r="J13" s="647" t="s">
        <v>941</v>
      </c>
    </row>
    <row r="14" spans="1:15" ht="13.8" thickTop="1">
      <c r="A14" s="648"/>
      <c r="B14" s="1587"/>
      <c r="C14" s="648">
        <v>1.02</v>
      </c>
      <c r="D14" s="1569">
        <f>IFERROR(B14*C14,0)</f>
        <v>0</v>
      </c>
      <c r="E14" s="1587"/>
      <c r="F14" s="1587"/>
      <c r="G14" s="656">
        <f>D14-E14+F14</f>
        <v>0</v>
      </c>
      <c r="H14" s="656">
        <v>0.5101</v>
      </c>
      <c r="I14" s="656">
        <f>G14*H14*F7</f>
        <v>0</v>
      </c>
      <c r="J14" s="1570">
        <f>I14/10^3</f>
        <v>0</v>
      </c>
    </row>
    <row r="15" spans="1:15">
      <c r="A15" s="114" t="s">
        <v>942</v>
      </c>
      <c r="B15" s="114"/>
      <c r="C15" s="114"/>
      <c r="D15" s="114"/>
    </row>
    <row r="16" spans="1:15">
      <c r="B16" s="114"/>
      <c r="C16" s="114"/>
      <c r="D16" s="114"/>
    </row>
    <row r="17" spans="1:15">
      <c r="A17" s="496" t="s">
        <v>943</v>
      </c>
      <c r="B17" s="496"/>
      <c r="C17" s="496"/>
      <c r="D17" s="496"/>
      <c r="E17" s="496"/>
      <c r="F17" s="496"/>
      <c r="G17" s="496"/>
      <c r="H17" s="496"/>
      <c r="I17" s="496"/>
      <c r="J17" s="496"/>
      <c r="K17" s="496"/>
      <c r="L17" s="496"/>
      <c r="M17" s="496"/>
      <c r="N17" s="496"/>
      <c r="O17" s="496"/>
    </row>
    <row r="18" spans="1:15" s="114" customFormat="1">
      <c r="A18" s="643"/>
      <c r="B18" s="643"/>
      <c r="C18" s="643"/>
      <c r="D18" s="643"/>
      <c r="E18" s="643"/>
    </row>
    <row r="19" spans="1:15" s="114" customFormat="1">
      <c r="A19" s="644"/>
      <c r="B19" s="644" t="s">
        <v>917</v>
      </c>
      <c r="C19" s="644" t="s">
        <v>918</v>
      </c>
      <c r="D19" s="644" t="s">
        <v>919</v>
      </c>
      <c r="E19" s="644" t="s">
        <v>920</v>
      </c>
    </row>
    <row r="20" spans="1:15" s="114" customFormat="1" ht="26.4">
      <c r="A20" s="645" t="s">
        <v>944</v>
      </c>
      <c r="B20" s="645" t="s">
        <v>945</v>
      </c>
      <c r="C20" s="645" t="s">
        <v>2299</v>
      </c>
      <c r="D20" s="645" t="s">
        <v>932</v>
      </c>
      <c r="E20" s="645" t="s">
        <v>932</v>
      </c>
    </row>
    <row r="21" spans="1:15" s="114" customFormat="1" ht="14.4">
      <c r="A21" s="639"/>
      <c r="B21" s="637" t="s">
        <v>933</v>
      </c>
      <c r="C21" s="638" t="s">
        <v>946</v>
      </c>
      <c r="D21" s="637" t="s">
        <v>936</v>
      </c>
      <c r="E21" s="637" t="s">
        <v>937</v>
      </c>
    </row>
    <row r="22" spans="1:15" s="114" customFormat="1" ht="14.4">
      <c r="A22" s="1363"/>
      <c r="B22" s="732"/>
      <c r="C22" s="732"/>
      <c r="D22" s="644" t="s">
        <v>938</v>
      </c>
      <c r="E22" s="644" t="s">
        <v>947</v>
      </c>
    </row>
    <row r="23" spans="1:15" s="114" customFormat="1" ht="15">
      <c r="A23" s="1368" t="s">
        <v>2313</v>
      </c>
      <c r="B23" s="723"/>
      <c r="C23" s="1369">
        <v>0.75</v>
      </c>
      <c r="D23" s="1567">
        <f>B23*C23</f>
        <v>0</v>
      </c>
      <c r="E23" s="1568">
        <f>D23/10^3</f>
        <v>0</v>
      </c>
    </row>
    <row r="24" spans="1:15" s="114" customFormat="1" ht="15">
      <c r="A24" s="1368" t="s">
        <v>2314</v>
      </c>
      <c r="B24" s="723"/>
      <c r="C24" s="1369">
        <v>0.77</v>
      </c>
      <c r="D24" s="1567">
        <f t="shared" ref="D24:D25" si="0">B24*C24</f>
        <v>0</v>
      </c>
      <c r="E24" s="1568">
        <f>D24/10^3</f>
        <v>0</v>
      </c>
    </row>
    <row r="25" spans="1:15" s="114" customFormat="1" ht="15.6" thickBot="1">
      <c r="A25" s="1368" t="s">
        <v>2315</v>
      </c>
      <c r="B25" s="723"/>
      <c r="C25" s="1369">
        <v>0.59</v>
      </c>
      <c r="D25" s="1567">
        <f t="shared" si="0"/>
        <v>0</v>
      </c>
      <c r="E25" s="1568">
        <f>D25/10^3</f>
        <v>0</v>
      </c>
    </row>
    <row r="26" spans="1:15" s="114" customFormat="1" ht="13.8" thickTop="1">
      <c r="A26" s="648" t="s">
        <v>982</v>
      </c>
      <c r="B26" s="649"/>
      <c r="C26" s="649"/>
      <c r="D26" s="1662">
        <f>SUM(D23:D25)</f>
        <v>0</v>
      </c>
      <c r="E26" s="656">
        <f>SUM(E23:E25)</f>
        <v>0</v>
      </c>
    </row>
    <row r="27" spans="1:15" s="114" customFormat="1">
      <c r="A27" s="2153" t="s">
        <v>2300</v>
      </c>
      <c r="B27" s="2169"/>
      <c r="C27" s="2169"/>
      <c r="D27" s="2169"/>
      <c r="E27" s="2170"/>
    </row>
    <row r="29" spans="1:15">
      <c r="A29" s="496" t="s">
        <v>948</v>
      </c>
      <c r="B29" s="496"/>
      <c r="C29" s="496"/>
      <c r="D29" s="496"/>
      <c r="E29" s="496"/>
      <c r="F29" s="496"/>
      <c r="G29" s="496"/>
      <c r="H29" s="496"/>
      <c r="I29" s="496"/>
      <c r="J29" s="496"/>
      <c r="K29" s="496"/>
      <c r="L29" s="496"/>
      <c r="M29" s="496"/>
      <c r="N29" s="496"/>
      <c r="O29" s="496"/>
    </row>
    <row r="30" spans="1:15" s="114" customFormat="1">
      <c r="A30" s="643"/>
      <c r="B30" s="643"/>
      <c r="C30" s="643"/>
      <c r="D30" s="643"/>
      <c r="E30" s="643"/>
    </row>
    <row r="31" spans="1:15" s="114" customFormat="1">
      <c r="A31" s="644" t="s">
        <v>917</v>
      </c>
      <c r="B31" s="644" t="s">
        <v>918</v>
      </c>
      <c r="C31" s="644" t="s">
        <v>919</v>
      </c>
      <c r="D31" s="644" t="s">
        <v>920</v>
      </c>
      <c r="E31" s="644" t="s">
        <v>921</v>
      </c>
    </row>
    <row r="32" spans="1:15" s="114" customFormat="1" ht="26.7" customHeight="1">
      <c r="A32" s="645" t="s">
        <v>949</v>
      </c>
      <c r="B32" s="645" t="s">
        <v>2302</v>
      </c>
      <c r="C32" s="645" t="s">
        <v>950</v>
      </c>
      <c r="D32" s="645" t="s">
        <v>932</v>
      </c>
      <c r="E32" s="645" t="s">
        <v>932</v>
      </c>
    </row>
    <row r="33" spans="1:11" s="114" customFormat="1" ht="14.4">
      <c r="A33" s="637" t="s">
        <v>933</v>
      </c>
      <c r="B33" s="638" t="s">
        <v>951</v>
      </c>
      <c r="C33" s="638" t="s">
        <v>934</v>
      </c>
      <c r="D33" s="637" t="s">
        <v>936</v>
      </c>
      <c r="E33" s="637" t="s">
        <v>937</v>
      </c>
    </row>
    <row r="34" spans="1:11" s="114" customFormat="1" ht="15" thickBot="1">
      <c r="A34" s="646"/>
      <c r="B34" s="647"/>
      <c r="C34" s="647"/>
      <c r="D34" s="647" t="s">
        <v>952</v>
      </c>
      <c r="E34" s="647" t="s">
        <v>953</v>
      </c>
    </row>
    <row r="35" spans="1:11" s="114" customFormat="1" ht="13.8" thickTop="1">
      <c r="A35" s="845"/>
      <c r="B35" s="648">
        <v>0.21</v>
      </c>
      <c r="C35" s="677">
        <v>0.18</v>
      </c>
      <c r="D35" s="1571">
        <f>A35*B35*(1-C35)</f>
        <v>0</v>
      </c>
      <c r="E35" s="1571">
        <f>D35/10^3</f>
        <v>0</v>
      </c>
    </row>
    <row r="37" spans="1:11" s="114" customFormat="1">
      <c r="B37" s="103"/>
      <c r="F37" s="1389"/>
      <c r="G37" s="103"/>
      <c r="H37" s="1389"/>
      <c r="I37" s="1389"/>
      <c r="J37" s="1390"/>
      <c r="K37" s="1390"/>
    </row>
    <row r="38" spans="1:11" s="114" customFormat="1">
      <c r="A38" s="2178" t="s">
        <v>954</v>
      </c>
      <c r="B38" s="2179"/>
      <c r="C38" s="2179"/>
      <c r="D38" s="2179"/>
      <c r="E38" s="2179"/>
      <c r="F38" s="2179"/>
      <c r="G38" s="2179"/>
      <c r="H38" s="2179"/>
      <c r="I38" s="2179"/>
      <c r="J38" s="2179"/>
      <c r="K38" s="2180"/>
    </row>
    <row r="39" spans="1:11" s="114" customFormat="1">
      <c r="A39" s="2186"/>
      <c r="B39" s="2187"/>
      <c r="C39" s="2187"/>
      <c r="D39" s="2187"/>
      <c r="E39" s="2187"/>
      <c r="F39" s="2187"/>
      <c r="G39" s="2187"/>
      <c r="H39" s="2187"/>
      <c r="I39" s="2187"/>
      <c r="J39" s="2187"/>
      <c r="K39" s="2188"/>
    </row>
    <row r="40" spans="1:11" s="114" customFormat="1">
      <c r="A40" s="2177" t="s">
        <v>917</v>
      </c>
      <c r="B40" s="2177"/>
      <c r="C40" s="1380" t="s">
        <v>918</v>
      </c>
      <c r="D40" s="1380" t="s">
        <v>919</v>
      </c>
      <c r="E40" s="1380" t="s">
        <v>920</v>
      </c>
      <c r="F40" s="1380" t="s">
        <v>921</v>
      </c>
      <c r="G40" s="1380" t="s">
        <v>922</v>
      </c>
      <c r="H40" s="1380" t="s">
        <v>923</v>
      </c>
      <c r="I40" s="1380" t="s">
        <v>924</v>
      </c>
      <c r="J40" s="1380" t="s">
        <v>925</v>
      </c>
      <c r="K40" s="1381"/>
    </row>
    <row r="41" spans="1:11" s="114" customFormat="1" ht="34.5" customHeight="1">
      <c r="A41" s="2200" t="s">
        <v>2346</v>
      </c>
      <c r="B41" s="1395" t="s">
        <v>2348</v>
      </c>
      <c r="C41" s="1396" t="s">
        <v>2303</v>
      </c>
      <c r="D41" s="1396" t="s">
        <v>2304</v>
      </c>
      <c r="E41" s="1396" t="s">
        <v>2305</v>
      </c>
      <c r="F41" s="1396" t="s">
        <v>2339</v>
      </c>
      <c r="G41" s="1396" t="s">
        <v>955</v>
      </c>
      <c r="H41" s="1396" t="s">
        <v>2340</v>
      </c>
      <c r="I41" s="1396" t="s">
        <v>2341</v>
      </c>
      <c r="J41" s="1396" t="s">
        <v>2341</v>
      </c>
      <c r="K41" s="1381"/>
    </row>
    <row r="42" spans="1:11" s="103" customFormat="1" ht="34.5" customHeight="1">
      <c r="A42" s="2201"/>
      <c r="B42" s="1394" t="s">
        <v>2347</v>
      </c>
      <c r="C42" s="1394" t="s">
        <v>956</v>
      </c>
      <c r="D42" s="1393" t="s">
        <v>957</v>
      </c>
      <c r="E42" s="1393" t="s">
        <v>934</v>
      </c>
      <c r="F42" s="1394" t="s">
        <v>2342</v>
      </c>
      <c r="G42" s="1393" t="s">
        <v>958</v>
      </c>
      <c r="H42" s="1394" t="s">
        <v>2342</v>
      </c>
      <c r="I42" s="1394" t="s">
        <v>2342</v>
      </c>
      <c r="J42" s="1394" t="s">
        <v>2343</v>
      </c>
      <c r="K42" s="1393"/>
    </row>
    <row r="43" spans="1:11" s="114" customFormat="1" ht="14.4">
      <c r="A43" s="2189"/>
      <c r="B43" s="2190"/>
      <c r="C43" s="1382"/>
      <c r="D43" s="1380"/>
      <c r="E43" s="1380"/>
      <c r="F43" s="1380" t="s">
        <v>2294</v>
      </c>
      <c r="G43" s="1380"/>
      <c r="H43" s="1380" t="s">
        <v>959</v>
      </c>
      <c r="I43" s="1380" t="s">
        <v>960</v>
      </c>
      <c r="J43" s="1380" t="s">
        <v>2344</v>
      </c>
      <c r="K43" s="1380" t="s">
        <v>2345</v>
      </c>
    </row>
    <row r="44" spans="1:11" s="114" customFormat="1">
      <c r="A44" s="2194" t="s">
        <v>2328</v>
      </c>
      <c r="B44" s="2195"/>
      <c r="C44" s="2195"/>
      <c r="D44" s="2195"/>
      <c r="E44" s="2195"/>
      <c r="F44" s="2195"/>
      <c r="G44" s="2195"/>
      <c r="H44" s="2195"/>
      <c r="I44" s="2195"/>
      <c r="J44" s="2195"/>
      <c r="K44" s="2196"/>
    </row>
    <row r="45" spans="1:11" s="114" customFormat="1">
      <c r="A45" s="2191" t="s">
        <v>2329</v>
      </c>
      <c r="B45" s="2192"/>
      <c r="C45" s="2192"/>
      <c r="D45" s="2192"/>
      <c r="E45" s="2192"/>
      <c r="F45" s="2192"/>
      <c r="G45" s="2192"/>
      <c r="H45" s="2192"/>
      <c r="I45" s="2192"/>
      <c r="J45" s="2192"/>
      <c r="K45" s="2193"/>
    </row>
    <row r="46" spans="1:11" s="114" customFormat="1">
      <c r="A46" s="1383" t="s">
        <v>2330</v>
      </c>
      <c r="B46" s="1388"/>
      <c r="C46" s="1383">
        <v>30.2</v>
      </c>
      <c r="D46" s="1383">
        <v>15.3</v>
      </c>
      <c r="E46" s="1383">
        <v>1</v>
      </c>
      <c r="F46" s="1384">
        <f>(B46*C46*D46*E46)*44/12</f>
        <v>0</v>
      </c>
      <c r="G46" s="1385"/>
      <c r="H46" s="1384">
        <f>G46*44/12</f>
        <v>0</v>
      </c>
      <c r="I46" s="1384">
        <f>F46-H46</f>
        <v>0</v>
      </c>
      <c r="J46" s="1386">
        <f>I46/10^6</f>
        <v>0</v>
      </c>
      <c r="K46" s="1386">
        <f>J46*1000</f>
        <v>0</v>
      </c>
    </row>
    <row r="47" spans="1:11" s="114" customFormat="1">
      <c r="A47" s="2191" t="s">
        <v>2331</v>
      </c>
      <c r="B47" s="2192"/>
      <c r="C47" s="2192"/>
      <c r="D47" s="2192"/>
      <c r="E47" s="2192"/>
      <c r="F47" s="2192"/>
      <c r="G47" s="2192"/>
      <c r="H47" s="2192"/>
      <c r="I47" s="2192"/>
      <c r="J47" s="2192"/>
      <c r="K47" s="2193"/>
    </row>
    <row r="48" spans="1:11" s="114" customFormat="1">
      <c r="A48" s="1383" t="s">
        <v>2330</v>
      </c>
      <c r="B48" s="1388"/>
      <c r="C48" s="1383">
        <v>29.7</v>
      </c>
      <c r="D48" s="1383">
        <v>15.3</v>
      </c>
      <c r="E48" s="1383">
        <v>1</v>
      </c>
      <c r="F48" s="1384">
        <f>(B48*C48*D48*E48)*44/12</f>
        <v>0</v>
      </c>
      <c r="G48" s="1388"/>
      <c r="H48" s="1384">
        <f>G48*44/12</f>
        <v>0</v>
      </c>
      <c r="I48" s="1384">
        <f>F48-H48</f>
        <v>0</v>
      </c>
      <c r="J48" s="1386">
        <f>I48/10^6</f>
        <v>0</v>
      </c>
      <c r="K48" s="1386">
        <f t="shared" ref="K48:K56" si="1">J48*1000</f>
        <v>0</v>
      </c>
    </row>
    <row r="49" spans="1:15" s="114" customFormat="1">
      <c r="A49" s="2191" t="s">
        <v>2332</v>
      </c>
      <c r="B49" s="2192"/>
      <c r="C49" s="2192"/>
      <c r="D49" s="2192"/>
      <c r="E49" s="2192"/>
      <c r="F49" s="2192"/>
      <c r="G49" s="2192"/>
      <c r="H49" s="2192"/>
      <c r="I49" s="2192"/>
      <c r="J49" s="2192"/>
      <c r="K49" s="2193"/>
    </row>
    <row r="50" spans="1:15" s="114" customFormat="1">
      <c r="A50" s="1383" t="s">
        <v>2330</v>
      </c>
      <c r="B50" s="1388"/>
      <c r="C50" s="1383">
        <v>30.2</v>
      </c>
      <c r="D50" s="1383">
        <v>15.3</v>
      </c>
      <c r="E50" s="1383">
        <v>1</v>
      </c>
      <c r="F50" s="1384">
        <f>(B50*C50*D50*E50)*44/12</f>
        <v>0</v>
      </c>
      <c r="G50" s="1388"/>
      <c r="H50" s="1384">
        <f>G50*44/12</f>
        <v>0</v>
      </c>
      <c r="I50" s="1384">
        <f>F50-H50</f>
        <v>0</v>
      </c>
      <c r="J50" s="1386">
        <f>I50/10^6</f>
        <v>0</v>
      </c>
      <c r="K50" s="1386">
        <f t="shared" si="1"/>
        <v>0</v>
      </c>
    </row>
    <row r="51" spans="1:15" s="114" customFormat="1">
      <c r="A51" s="1383" t="s">
        <v>2333</v>
      </c>
      <c r="B51" s="1388"/>
      <c r="C51" s="1387">
        <v>36</v>
      </c>
      <c r="D51" s="1387">
        <v>21</v>
      </c>
      <c r="E51" s="1383">
        <v>1</v>
      </c>
      <c r="F51" s="1384">
        <f>(B51*C51*D51*E51)*44/12</f>
        <v>0</v>
      </c>
      <c r="G51" s="1388"/>
      <c r="H51" s="1384">
        <f t="shared" ref="H51" si="2">G51*44/12</f>
        <v>0</v>
      </c>
      <c r="I51" s="1384">
        <f>F51-H51</f>
        <v>0</v>
      </c>
      <c r="J51" s="1386">
        <f>I51/10^6</f>
        <v>0</v>
      </c>
      <c r="K51" s="1386">
        <f t="shared" si="1"/>
        <v>0</v>
      </c>
    </row>
    <row r="52" spans="1:15" s="114" customFormat="1" ht="12.75" customHeight="1">
      <c r="A52" s="2197" t="s">
        <v>2334</v>
      </c>
      <c r="B52" s="2198"/>
      <c r="C52" s="2198"/>
      <c r="D52" s="2198"/>
      <c r="E52" s="2198"/>
      <c r="F52" s="2198"/>
      <c r="G52" s="2198"/>
      <c r="H52" s="2198"/>
      <c r="I52" s="2198"/>
      <c r="J52" s="2198"/>
      <c r="K52" s="2199"/>
    </row>
    <row r="53" spans="1:15" s="114" customFormat="1">
      <c r="A53" s="2191" t="s">
        <v>2335</v>
      </c>
      <c r="B53" s="2192"/>
      <c r="C53" s="2192"/>
      <c r="D53" s="2192"/>
      <c r="E53" s="2192"/>
      <c r="F53" s="2192"/>
      <c r="G53" s="2192"/>
      <c r="H53" s="2192"/>
      <c r="I53" s="2192"/>
      <c r="J53" s="2192"/>
      <c r="K53" s="2193"/>
    </row>
    <row r="54" spans="1:15" s="114" customFormat="1">
      <c r="A54" s="1383" t="s">
        <v>2330</v>
      </c>
      <c r="B54" s="1388"/>
      <c r="C54" s="1383">
        <v>37.5</v>
      </c>
      <c r="D54" s="1383">
        <v>15.3</v>
      </c>
      <c r="E54" s="1383">
        <v>1</v>
      </c>
      <c r="F54" s="1384">
        <f>(B54*C54*D54*E54)*44/12</f>
        <v>0</v>
      </c>
      <c r="G54" s="1388"/>
      <c r="H54" s="1384">
        <f>G54*44/12</f>
        <v>0</v>
      </c>
      <c r="I54" s="1384">
        <f>F54-H54</f>
        <v>0</v>
      </c>
      <c r="J54" s="1386">
        <f t="shared" ref="J54:J56" si="3">I54/10^6</f>
        <v>0</v>
      </c>
      <c r="K54" s="1386">
        <f>J54*1000</f>
        <v>0</v>
      </c>
    </row>
    <row r="55" spans="1:15" s="114" customFormat="1">
      <c r="A55" s="2191" t="s">
        <v>2336</v>
      </c>
      <c r="B55" s="2192"/>
      <c r="C55" s="2192"/>
      <c r="D55" s="2192"/>
      <c r="E55" s="2192"/>
      <c r="F55" s="2192"/>
      <c r="G55" s="2192"/>
      <c r="H55" s="2192"/>
      <c r="I55" s="2192"/>
      <c r="J55" s="2192"/>
      <c r="K55" s="2193"/>
    </row>
    <row r="56" spans="1:15" s="114" customFormat="1" ht="13.8" thickBot="1">
      <c r="A56" s="1383" t="s">
        <v>2337</v>
      </c>
      <c r="B56" s="1388"/>
      <c r="C56" s="1383">
        <v>42.5</v>
      </c>
      <c r="D56" s="1387">
        <v>21</v>
      </c>
      <c r="E56" s="1383">
        <v>1</v>
      </c>
      <c r="F56" s="1384">
        <f>(B56*C56*D56*E56)*44/12</f>
        <v>0</v>
      </c>
      <c r="G56" s="1388"/>
      <c r="H56" s="1384">
        <f>G56*44/12</f>
        <v>0</v>
      </c>
      <c r="I56" s="1384">
        <f>F56-H56</f>
        <v>0</v>
      </c>
      <c r="J56" s="1386">
        <f t="shared" si="3"/>
        <v>0</v>
      </c>
      <c r="K56" s="1386">
        <f t="shared" si="1"/>
        <v>0</v>
      </c>
    </row>
    <row r="57" spans="1:15" s="114" customFormat="1" ht="13.8" thickTop="1">
      <c r="A57" s="1419" t="s">
        <v>982</v>
      </c>
      <c r="B57" s="649"/>
      <c r="C57" s="649"/>
      <c r="D57" s="1387"/>
      <c r="E57" s="1383"/>
      <c r="F57" s="1384"/>
      <c r="G57" s="1383"/>
      <c r="H57" s="1384"/>
      <c r="I57" s="1384"/>
      <c r="J57" s="1386">
        <f>J46+J48+J50+J51+J54+J56</f>
        <v>0</v>
      </c>
      <c r="K57" s="1386">
        <f>K46+K48+K50+K51+K54+K56</f>
        <v>0</v>
      </c>
    </row>
    <row r="58" spans="1:15" s="114" customFormat="1" ht="52.5" customHeight="1">
      <c r="A58" s="2185" t="s">
        <v>2338</v>
      </c>
      <c r="B58" s="2185"/>
      <c r="C58" s="2185"/>
      <c r="D58" s="2185"/>
      <c r="E58" s="2185"/>
      <c r="F58" s="2185"/>
      <c r="G58" s="2185"/>
      <c r="H58" s="2185"/>
      <c r="I58" s="2185"/>
      <c r="J58" s="2185"/>
      <c r="K58" s="2185"/>
    </row>
    <row r="59" spans="1:15" s="114" customFormat="1" ht="14.25" customHeight="1">
      <c r="B59" s="103"/>
      <c r="F59" s="1389"/>
      <c r="G59" s="103"/>
      <c r="H59" s="1389"/>
      <c r="I59" s="1389"/>
      <c r="J59" s="1390"/>
      <c r="K59" s="1390"/>
    </row>
    <row r="61" spans="1:15" s="114" customFormat="1">
      <c r="A61" s="652" t="s">
        <v>961</v>
      </c>
      <c r="B61" s="652"/>
      <c r="C61" s="652"/>
      <c r="D61" s="652"/>
      <c r="E61" s="652"/>
      <c r="F61" s="652"/>
      <c r="G61" s="652"/>
      <c r="H61" s="652"/>
      <c r="I61" s="652"/>
      <c r="J61" s="652"/>
      <c r="K61" s="652"/>
      <c r="L61" s="652"/>
      <c r="M61" s="652"/>
      <c r="N61" s="652"/>
      <c r="O61" s="652"/>
    </row>
    <row r="62" spans="1:15" s="114" customFormat="1">
      <c r="A62" s="643"/>
      <c r="B62" s="643"/>
      <c r="C62" s="643"/>
      <c r="D62" s="643"/>
      <c r="E62" s="643"/>
    </row>
    <row r="63" spans="1:15" s="114" customFormat="1">
      <c r="A63" s="644" t="s">
        <v>917</v>
      </c>
      <c r="B63" s="644" t="s">
        <v>918</v>
      </c>
      <c r="C63" s="644" t="s">
        <v>919</v>
      </c>
      <c r="D63" s="644" t="s">
        <v>920</v>
      </c>
      <c r="E63" s="644" t="s">
        <v>962</v>
      </c>
    </row>
    <row r="64" spans="1:15" s="114" customFormat="1" ht="14.4">
      <c r="A64" s="645" t="s">
        <v>2306</v>
      </c>
      <c r="B64" s="645" t="s">
        <v>2307</v>
      </c>
      <c r="C64" s="645" t="s">
        <v>964</v>
      </c>
      <c r="D64" s="645" t="s">
        <v>964</v>
      </c>
      <c r="E64" s="645" t="s">
        <v>932</v>
      </c>
    </row>
    <row r="65" spans="1:15" s="114" customFormat="1" ht="27.6">
      <c r="A65" s="637" t="s">
        <v>933</v>
      </c>
      <c r="B65" s="638" t="s">
        <v>965</v>
      </c>
      <c r="C65" s="637" t="s">
        <v>958</v>
      </c>
      <c r="D65" s="637" t="s">
        <v>966</v>
      </c>
      <c r="E65" s="638" t="s">
        <v>937</v>
      </c>
    </row>
    <row r="66" spans="1:15" s="114" customFormat="1" ht="15" thickBot="1">
      <c r="A66" s="650"/>
      <c r="B66" s="646"/>
      <c r="C66" s="647" t="s">
        <v>938</v>
      </c>
      <c r="D66" s="647" t="s">
        <v>968</v>
      </c>
      <c r="E66" s="647" t="s">
        <v>969</v>
      </c>
      <c r="F66" s="647" t="s">
        <v>970</v>
      </c>
    </row>
    <row r="67" spans="1:15" s="114" customFormat="1" ht="24" customHeight="1" thickTop="1">
      <c r="A67" s="934"/>
      <c r="B67" s="1303">
        <v>2</v>
      </c>
      <c r="C67" s="1303">
        <f>A67*B67</f>
        <v>0</v>
      </c>
      <c r="D67" s="1303">
        <f>C67/10^6</f>
        <v>0</v>
      </c>
      <c r="E67" s="655">
        <f>D67*$H$7</f>
        <v>0</v>
      </c>
      <c r="F67" s="655">
        <f>E67*1000</f>
        <v>0</v>
      </c>
    </row>
    <row r="69" spans="1:15" s="114" customFormat="1">
      <c r="A69" s="652" t="s">
        <v>971</v>
      </c>
      <c r="B69" s="652"/>
      <c r="C69" s="652"/>
      <c r="D69" s="652"/>
      <c r="E69" s="652"/>
      <c r="F69" s="652"/>
      <c r="G69" s="652"/>
      <c r="H69" s="652"/>
      <c r="I69" s="652"/>
      <c r="J69" s="652"/>
      <c r="K69" s="652"/>
      <c r="L69" s="652"/>
      <c r="M69" s="652"/>
      <c r="N69" s="652"/>
      <c r="O69" s="652"/>
    </row>
    <row r="70" spans="1:15" s="114" customFormat="1">
      <c r="A70" s="643"/>
      <c r="B70" s="643"/>
      <c r="C70" s="643"/>
      <c r="D70" s="643"/>
      <c r="E70" s="643"/>
    </row>
    <row r="71" spans="1:15" s="114" customFormat="1">
      <c r="A71" s="644" t="s">
        <v>917</v>
      </c>
      <c r="B71" s="644" t="s">
        <v>918</v>
      </c>
      <c r="C71" s="644" t="s">
        <v>919</v>
      </c>
      <c r="D71" s="644" t="s">
        <v>920</v>
      </c>
      <c r="E71" s="644" t="s">
        <v>962</v>
      </c>
    </row>
    <row r="72" spans="1:15" s="114" customFormat="1" ht="24" customHeight="1">
      <c r="A72" s="645" t="s">
        <v>973</v>
      </c>
      <c r="B72" s="645" t="s">
        <v>2307</v>
      </c>
      <c r="C72" s="645" t="s">
        <v>964</v>
      </c>
      <c r="D72" s="645" t="s">
        <v>964</v>
      </c>
      <c r="E72" s="645" t="s">
        <v>932</v>
      </c>
    </row>
    <row r="73" spans="1:15" s="114" customFormat="1" ht="27.6">
      <c r="A73" s="637" t="s">
        <v>933</v>
      </c>
      <c r="B73" s="638" t="s">
        <v>974</v>
      </c>
      <c r="C73" s="637" t="s">
        <v>958</v>
      </c>
      <c r="D73" s="637" t="s">
        <v>966</v>
      </c>
      <c r="E73" s="638" t="s">
        <v>937</v>
      </c>
    </row>
    <row r="74" spans="1:15" s="114" customFormat="1" ht="12.75" customHeight="1" thickBot="1">
      <c r="A74" s="650"/>
      <c r="B74" s="646"/>
      <c r="C74" s="647" t="s">
        <v>938</v>
      </c>
      <c r="D74" s="647" t="s">
        <v>968</v>
      </c>
      <c r="E74" s="647" t="s">
        <v>969</v>
      </c>
      <c r="F74" s="647" t="s">
        <v>970</v>
      </c>
    </row>
    <row r="75" spans="1:15" s="114" customFormat="1" ht="13.8" thickTop="1">
      <c r="A75" s="722"/>
      <c r="B75" s="648">
        <v>300</v>
      </c>
      <c r="C75" s="654">
        <f>A75*B75</f>
        <v>0</v>
      </c>
      <c r="D75" s="655">
        <f>C75/10^6</f>
        <v>0</v>
      </c>
      <c r="E75" s="655">
        <f>D75*$H$7</f>
        <v>0</v>
      </c>
      <c r="F75" s="655">
        <f>E75*1000</f>
        <v>0</v>
      </c>
    </row>
    <row r="77" spans="1:15" s="114" customFormat="1">
      <c r="A77" s="652" t="s">
        <v>967</v>
      </c>
      <c r="B77" s="652"/>
      <c r="C77" s="652"/>
      <c r="D77" s="652"/>
      <c r="E77" s="652"/>
      <c r="F77" s="652"/>
      <c r="G77" s="652"/>
      <c r="H77" s="652"/>
      <c r="I77" s="652"/>
      <c r="J77" s="652"/>
      <c r="K77" s="652"/>
      <c r="L77" s="652"/>
      <c r="M77" s="652"/>
      <c r="N77" s="652"/>
      <c r="O77" s="652"/>
    </row>
    <row r="78" spans="1:15" s="114" customFormat="1">
      <c r="A78" s="643"/>
      <c r="B78" s="643"/>
      <c r="C78" s="643"/>
      <c r="D78" s="643"/>
      <c r="E78" s="643"/>
      <c r="F78" s="643"/>
    </row>
    <row r="79" spans="1:15" s="114" customFormat="1" ht="12.75" customHeight="1">
      <c r="A79" s="644"/>
      <c r="B79" s="644" t="s">
        <v>917</v>
      </c>
      <c r="C79" s="644" t="s">
        <v>918</v>
      </c>
      <c r="D79" s="644" t="s">
        <v>919</v>
      </c>
      <c r="E79" s="644" t="s">
        <v>920</v>
      </c>
      <c r="F79" s="644" t="s">
        <v>962</v>
      </c>
    </row>
    <row r="80" spans="1:15" s="114" customFormat="1" ht="26.4">
      <c r="A80" s="645" t="s">
        <v>976</v>
      </c>
      <c r="B80" s="645" t="s">
        <v>977</v>
      </c>
      <c r="C80" s="645" t="s">
        <v>963</v>
      </c>
      <c r="D80" s="645" t="s">
        <v>964</v>
      </c>
      <c r="E80" s="645" t="s">
        <v>964</v>
      </c>
      <c r="F80" s="645" t="s">
        <v>932</v>
      </c>
    </row>
    <row r="81" spans="1:15" s="114" customFormat="1" ht="27.6">
      <c r="A81" s="639"/>
      <c r="B81" s="637" t="s">
        <v>933</v>
      </c>
      <c r="C81" s="638" t="s">
        <v>978</v>
      </c>
      <c r="D81" s="637" t="s">
        <v>958</v>
      </c>
      <c r="E81" s="637" t="s">
        <v>966</v>
      </c>
      <c r="F81" s="638" t="s">
        <v>937</v>
      </c>
    </row>
    <row r="82" spans="1:15" s="114" customFormat="1" ht="15" thickBot="1">
      <c r="A82" s="650"/>
      <c r="B82" s="650"/>
      <c r="C82" s="646"/>
      <c r="D82" s="647" t="s">
        <v>938</v>
      </c>
      <c r="E82" s="647" t="s">
        <v>968</v>
      </c>
      <c r="F82" s="647" t="s">
        <v>969</v>
      </c>
      <c r="G82" s="647" t="s">
        <v>970</v>
      </c>
    </row>
    <row r="83" spans="1:15" s="114" customFormat="1" ht="14.4" thickTop="1" thickBot="1">
      <c r="A83" s="648" t="s">
        <v>979</v>
      </c>
      <c r="B83" s="1241"/>
      <c r="C83" s="1572">
        <v>9</v>
      </c>
      <c r="D83" s="1572">
        <f>B83*C83</f>
        <v>0</v>
      </c>
      <c r="E83" s="655">
        <f>D83/10^6</f>
        <v>0</v>
      </c>
      <c r="F83" s="655">
        <f>E83*$H$7</f>
        <v>0</v>
      </c>
      <c r="G83" s="655">
        <f>F83*1000</f>
        <v>0</v>
      </c>
    </row>
    <row r="84" spans="1:15" s="114" customFormat="1" ht="14.4" thickTop="1" thickBot="1">
      <c r="A84" s="651" t="s">
        <v>980</v>
      </c>
      <c r="B84" s="1242"/>
      <c r="C84" s="1567">
        <v>0.1</v>
      </c>
      <c r="D84" s="1572">
        <f t="shared" ref="D84:D85" si="4">B84*C84</f>
        <v>0</v>
      </c>
      <c r="E84" s="655">
        <f t="shared" ref="E84:E85" si="5">D84/10^6</f>
        <v>0</v>
      </c>
      <c r="F84" s="656">
        <f>E84*$H$7</f>
        <v>0</v>
      </c>
      <c r="G84" s="656">
        <f>F84*1000</f>
        <v>0</v>
      </c>
    </row>
    <row r="85" spans="1:15" s="114" customFormat="1" ht="14.4" thickTop="1" thickBot="1">
      <c r="A85" s="646" t="s">
        <v>981</v>
      </c>
      <c r="B85" s="1243"/>
      <c r="C85" s="1573">
        <v>0.02</v>
      </c>
      <c r="D85" s="1572">
        <f t="shared" si="4"/>
        <v>0</v>
      </c>
      <c r="E85" s="655">
        <f t="shared" si="5"/>
        <v>0</v>
      </c>
      <c r="F85" s="657">
        <f>E85*$H$7</f>
        <v>0</v>
      </c>
      <c r="G85" s="657">
        <f>F85*1000</f>
        <v>0</v>
      </c>
    </row>
    <row r="86" spans="1:15" s="114" customFormat="1" ht="13.8" thickTop="1">
      <c r="A86" s="648" t="s">
        <v>982</v>
      </c>
      <c r="B86" s="649"/>
      <c r="C86" s="649"/>
      <c r="D86" s="654"/>
      <c r="E86" s="655"/>
      <c r="F86" s="655">
        <f>SUM(F83:F85)</f>
        <v>0</v>
      </c>
      <c r="G86" s="1659">
        <f>SUM(G83:G85)</f>
        <v>0</v>
      </c>
    </row>
    <row r="88" spans="1:15" s="114" customFormat="1">
      <c r="A88" s="652" t="s">
        <v>983</v>
      </c>
      <c r="B88" s="652"/>
      <c r="C88" s="652"/>
      <c r="D88" s="652"/>
      <c r="E88" s="652"/>
      <c r="F88" s="652"/>
      <c r="G88" s="652"/>
      <c r="H88" s="652"/>
      <c r="I88" s="652"/>
      <c r="J88" s="652"/>
      <c r="K88" s="652"/>
      <c r="L88" s="652"/>
      <c r="M88" s="652"/>
      <c r="N88" s="652"/>
      <c r="O88" s="652"/>
    </row>
    <row r="89" spans="1:15" s="114" customFormat="1" ht="14.4">
      <c r="A89" s="662" t="s">
        <v>984</v>
      </c>
      <c r="G89" s="662" t="s">
        <v>985</v>
      </c>
    </row>
    <row r="90" spans="1:15" s="114" customFormat="1">
      <c r="A90" s="643"/>
      <c r="B90" s="659"/>
      <c r="C90" s="659"/>
      <c r="D90" s="659"/>
      <c r="E90" s="659"/>
      <c r="G90" s="643"/>
      <c r="H90" s="659"/>
      <c r="I90" s="659"/>
      <c r="J90" s="659"/>
    </row>
    <row r="91" spans="1:15" s="114" customFormat="1">
      <c r="A91" s="644"/>
      <c r="B91" s="644" t="s">
        <v>917</v>
      </c>
      <c r="C91" s="644" t="s">
        <v>918</v>
      </c>
      <c r="D91" s="644" t="s">
        <v>919</v>
      </c>
      <c r="E91" s="644" t="s">
        <v>920</v>
      </c>
      <c r="G91" s="644" t="s">
        <v>917</v>
      </c>
      <c r="H91" s="644" t="s">
        <v>918</v>
      </c>
      <c r="I91" s="644" t="s">
        <v>919</v>
      </c>
      <c r="J91" s="644" t="s">
        <v>920</v>
      </c>
    </row>
    <row r="92" spans="1:15" s="114" customFormat="1" ht="39.6">
      <c r="A92" s="645" t="s">
        <v>986</v>
      </c>
      <c r="B92" s="645" t="s">
        <v>987</v>
      </c>
      <c r="C92" s="645" t="s">
        <v>963</v>
      </c>
      <c r="D92" s="645" t="s">
        <v>932</v>
      </c>
      <c r="E92" s="645" t="s">
        <v>932</v>
      </c>
      <c r="G92" s="645" t="s">
        <v>2308</v>
      </c>
      <c r="H92" s="645" t="s">
        <v>963</v>
      </c>
      <c r="I92" s="645" t="s">
        <v>932</v>
      </c>
      <c r="J92" s="645" t="s">
        <v>932</v>
      </c>
    </row>
    <row r="93" spans="1:15" s="114" customFormat="1" ht="27.6">
      <c r="A93" s="637"/>
      <c r="B93" s="637" t="s">
        <v>933</v>
      </c>
      <c r="C93" s="638" t="s">
        <v>988</v>
      </c>
      <c r="D93" s="637" t="s">
        <v>936</v>
      </c>
      <c r="E93" s="637" t="s">
        <v>937</v>
      </c>
      <c r="G93" s="637" t="s">
        <v>933</v>
      </c>
      <c r="H93" s="638" t="s">
        <v>989</v>
      </c>
      <c r="I93" s="637" t="s">
        <v>936</v>
      </c>
      <c r="J93" s="637" t="s">
        <v>937</v>
      </c>
    </row>
    <row r="94" spans="1:15" s="114" customFormat="1" ht="15" thickBot="1">
      <c r="A94" s="650"/>
      <c r="B94" s="646"/>
      <c r="C94" s="647"/>
      <c r="D94" s="647" t="s">
        <v>938</v>
      </c>
      <c r="E94" s="647" t="s">
        <v>990</v>
      </c>
      <c r="G94" s="650"/>
      <c r="H94" s="727"/>
      <c r="I94" s="647" t="s">
        <v>938</v>
      </c>
      <c r="J94" s="647" t="s">
        <v>990</v>
      </c>
    </row>
    <row r="95" spans="1:15" s="114" customFormat="1" ht="14.4" thickTop="1" thickBot="1">
      <c r="A95" s="648" t="s">
        <v>991</v>
      </c>
      <c r="B95" s="723"/>
      <c r="C95" s="1370">
        <v>2.62</v>
      </c>
      <c r="D95" s="661">
        <f>B95*C95</f>
        <v>0</v>
      </c>
      <c r="E95" s="655">
        <f>D95/10^3</f>
        <v>0</v>
      </c>
      <c r="G95" s="723"/>
      <c r="H95" s="1574">
        <v>1.1000000000000001</v>
      </c>
      <c r="I95" s="661">
        <f>G95*H95</f>
        <v>0</v>
      </c>
      <c r="J95" s="655">
        <f>I95/10^3</f>
        <v>0</v>
      </c>
    </row>
    <row r="96" spans="1:15" s="114" customFormat="1" ht="15" thickTop="1">
      <c r="A96" s="651" t="s">
        <v>992</v>
      </c>
      <c r="B96" s="723"/>
      <c r="C96" s="1370">
        <v>1.0900000000000001</v>
      </c>
      <c r="D96" s="661">
        <f>B96*C96</f>
        <v>0</v>
      </c>
      <c r="E96" s="655">
        <f>D96/10^3</f>
        <v>0</v>
      </c>
    </row>
    <row r="97" spans="1:15" s="114" customFormat="1" ht="12.75" customHeight="1">
      <c r="A97" s="2153" t="s">
        <v>993</v>
      </c>
      <c r="B97" s="2154"/>
      <c r="C97" s="2154"/>
      <c r="D97" s="2154"/>
      <c r="E97" s="2155"/>
    </row>
    <row r="98" spans="1:15">
      <c r="L98" s="114"/>
    </row>
    <row r="99" spans="1:15" s="114" customFormat="1" ht="14.4">
      <c r="A99" s="662" t="s">
        <v>994</v>
      </c>
      <c r="G99" s="662" t="s">
        <v>995</v>
      </c>
      <c r="K99" s="662"/>
    </row>
    <row r="100" spans="1:15" s="114" customFormat="1">
      <c r="A100" s="643"/>
      <c r="B100" s="659"/>
      <c r="C100" s="659"/>
      <c r="D100" s="659"/>
      <c r="G100" s="643"/>
      <c r="H100" s="659"/>
      <c r="I100" s="659"/>
      <c r="J100" s="659"/>
      <c r="K100" s="659"/>
    </row>
    <row r="101" spans="1:15" s="114" customFormat="1">
      <c r="A101" s="1610" t="s">
        <v>917</v>
      </c>
      <c r="B101" s="1610" t="s">
        <v>918</v>
      </c>
      <c r="C101" s="1610" t="s">
        <v>919</v>
      </c>
      <c r="D101" s="1610" t="s">
        <v>920</v>
      </c>
      <c r="E101" s="1618"/>
      <c r="G101" s="644" t="s">
        <v>917</v>
      </c>
      <c r="H101" s="644" t="s">
        <v>918</v>
      </c>
      <c r="I101" s="644" t="s">
        <v>919</v>
      </c>
      <c r="J101" s="644" t="s">
        <v>920</v>
      </c>
      <c r="K101" s="644" t="s">
        <v>962</v>
      </c>
    </row>
    <row r="102" spans="1:15" s="114" customFormat="1" ht="42">
      <c r="A102" s="1611" t="s">
        <v>996</v>
      </c>
      <c r="B102" s="1611" t="s">
        <v>997</v>
      </c>
      <c r="C102" s="1611" t="s">
        <v>998</v>
      </c>
      <c r="D102" s="1611" t="s">
        <v>999</v>
      </c>
      <c r="E102" s="1619"/>
      <c r="G102" s="645" t="s">
        <v>987</v>
      </c>
      <c r="H102" s="645" t="s">
        <v>963</v>
      </c>
      <c r="I102" s="645" t="s">
        <v>1000</v>
      </c>
      <c r="J102" s="645" t="s">
        <v>1000</v>
      </c>
      <c r="K102" s="645" t="s">
        <v>932</v>
      </c>
    </row>
    <row r="103" spans="1:15" s="114" customFormat="1" ht="14.7" customHeight="1">
      <c r="A103" s="1612" t="s">
        <v>937</v>
      </c>
      <c r="B103" s="1612" t="s">
        <v>937</v>
      </c>
      <c r="C103" s="1612" t="s">
        <v>937</v>
      </c>
      <c r="D103" s="1612" t="s">
        <v>937</v>
      </c>
      <c r="E103" s="1618"/>
      <c r="G103" s="637" t="s">
        <v>933</v>
      </c>
      <c r="H103" s="638" t="s">
        <v>1001</v>
      </c>
      <c r="I103" s="637" t="s">
        <v>309</v>
      </c>
      <c r="J103" s="637" t="s">
        <v>1002</v>
      </c>
      <c r="K103" s="638" t="s">
        <v>937</v>
      </c>
    </row>
    <row r="104" spans="1:15" s="114" customFormat="1" ht="15" thickBot="1">
      <c r="A104" s="1613"/>
      <c r="B104" s="1613"/>
      <c r="C104" s="1614"/>
      <c r="D104" s="1614" t="s">
        <v>1003</v>
      </c>
      <c r="E104" s="1614" t="s">
        <v>970</v>
      </c>
      <c r="G104" s="650"/>
      <c r="H104" s="727"/>
      <c r="I104" s="647" t="s">
        <v>938</v>
      </c>
      <c r="J104" s="647" t="s">
        <v>968</v>
      </c>
      <c r="K104" s="647" t="s">
        <v>969</v>
      </c>
      <c r="L104" s="647" t="s">
        <v>970</v>
      </c>
    </row>
    <row r="105" spans="1:15" s="114" customFormat="1" ht="13.8" thickTop="1">
      <c r="A105" s="1615">
        <f>E95</f>
        <v>0</v>
      </c>
      <c r="B105" s="1616">
        <f>E96</f>
        <v>0</v>
      </c>
      <c r="C105" s="1616">
        <f>J95</f>
        <v>0</v>
      </c>
      <c r="D105" s="1616">
        <f>C105+B105+A105</f>
        <v>0</v>
      </c>
      <c r="E105" s="1617">
        <f>D105*1000</f>
        <v>0</v>
      </c>
      <c r="G105" s="722"/>
      <c r="H105" s="1574">
        <v>11.6</v>
      </c>
      <c r="I105" s="661">
        <f>G105*H105</f>
        <v>0</v>
      </c>
      <c r="J105" s="655">
        <f>I105/10^6</f>
        <v>0</v>
      </c>
      <c r="K105" s="655">
        <f>J105*$G$7</f>
        <v>0</v>
      </c>
      <c r="L105" s="655">
        <f>K105*1000</f>
        <v>0</v>
      </c>
    </row>
    <row r="106" spans="1:15" s="114" customFormat="1" ht="13.35" customHeight="1">
      <c r="G106" s="114" t="s">
        <v>1004</v>
      </c>
    </row>
    <row r="107" spans="1:15" s="114" customFormat="1"/>
    <row r="108" spans="1:15" s="114" customFormat="1">
      <c r="A108" s="652" t="s">
        <v>1005</v>
      </c>
      <c r="B108" s="652"/>
      <c r="C108" s="652"/>
      <c r="D108" s="652"/>
      <c r="E108" s="652"/>
      <c r="F108" s="652"/>
      <c r="G108" s="652"/>
      <c r="H108" s="652"/>
      <c r="I108" s="652"/>
      <c r="J108" s="652"/>
      <c r="K108" s="652"/>
      <c r="L108" s="652"/>
      <c r="M108" s="652"/>
      <c r="N108" s="652"/>
      <c r="O108" s="652"/>
    </row>
    <row r="109" spans="1:15" s="114" customFormat="1">
      <c r="A109" s="643"/>
      <c r="B109" s="643"/>
      <c r="C109" s="643"/>
      <c r="D109" s="643"/>
      <c r="E109" s="643"/>
    </row>
    <row r="110" spans="1:15" s="114" customFormat="1">
      <c r="A110" s="644"/>
      <c r="B110" s="644" t="s">
        <v>917</v>
      </c>
      <c r="C110" s="644" t="s">
        <v>918</v>
      </c>
      <c r="D110" s="644" t="s">
        <v>919</v>
      </c>
      <c r="E110" s="644" t="s">
        <v>920</v>
      </c>
    </row>
    <row r="111" spans="1:15" s="114" customFormat="1" ht="14.4">
      <c r="A111" s="645" t="s">
        <v>1006</v>
      </c>
      <c r="B111" s="645" t="s">
        <v>1007</v>
      </c>
      <c r="C111" s="645" t="s">
        <v>963</v>
      </c>
      <c r="D111" s="645" t="s">
        <v>932</v>
      </c>
      <c r="E111" s="645" t="s">
        <v>932</v>
      </c>
    </row>
    <row r="112" spans="1:15" s="114" customFormat="1" ht="14.4">
      <c r="A112" s="639"/>
      <c r="B112" s="637" t="s">
        <v>933</v>
      </c>
      <c r="C112" s="638" t="s">
        <v>1008</v>
      </c>
      <c r="D112" s="638" t="s">
        <v>936</v>
      </c>
      <c r="E112" s="638" t="s">
        <v>937</v>
      </c>
    </row>
    <row r="113" spans="1:15" s="114" customFormat="1" ht="15" thickBot="1">
      <c r="A113" s="650"/>
      <c r="B113" s="650"/>
      <c r="C113" s="646"/>
      <c r="D113" s="647" t="s">
        <v>938</v>
      </c>
      <c r="E113" s="647" t="s">
        <v>990</v>
      </c>
    </row>
    <row r="114" spans="1:15" s="114" customFormat="1" ht="14.4" thickTop="1" thickBot="1">
      <c r="A114" s="648" t="s">
        <v>1009</v>
      </c>
      <c r="B114" s="722"/>
      <c r="C114" s="1378" t="s">
        <v>2309</v>
      </c>
      <c r="D114" s="661" t="e">
        <f>B114*C114</f>
        <v>#VALUE!</v>
      </c>
      <c r="E114" s="655" t="e">
        <f>D114/10^3</f>
        <v>#VALUE!</v>
      </c>
    </row>
    <row r="115" spans="1:15" s="114" customFormat="1" ht="14.4" thickTop="1" thickBot="1">
      <c r="A115" s="651" t="s">
        <v>1010</v>
      </c>
      <c r="B115" s="723"/>
      <c r="C115" s="651">
        <v>1.43</v>
      </c>
      <c r="D115" s="661">
        <f>B115*C115</f>
        <v>0</v>
      </c>
      <c r="E115" s="655">
        <f>D115/10^3</f>
        <v>0</v>
      </c>
    </row>
    <row r="116" spans="1:15" s="114" customFormat="1" ht="15.6" thickTop="1" thickBot="1">
      <c r="A116" s="646" t="s">
        <v>1011</v>
      </c>
      <c r="B116" s="754"/>
      <c r="C116" s="646">
        <v>1.34</v>
      </c>
      <c r="D116" s="661">
        <f>B116*C116</f>
        <v>0</v>
      </c>
      <c r="E116" s="655">
        <f>D116/10^3</f>
        <v>0</v>
      </c>
    </row>
    <row r="117" spans="1:15" s="114" customFormat="1" ht="13.8" thickTop="1">
      <c r="A117" s="648" t="s">
        <v>982</v>
      </c>
      <c r="B117" s="649"/>
      <c r="C117" s="649"/>
      <c r="D117" s="655">
        <f>D115+D116</f>
        <v>0</v>
      </c>
      <c r="E117" s="655"/>
    </row>
    <row r="119" spans="1:15" s="114" customFormat="1">
      <c r="A119" s="652" t="s">
        <v>1012</v>
      </c>
      <c r="B119" s="652"/>
      <c r="C119" s="652"/>
      <c r="D119" s="652"/>
      <c r="E119" s="652"/>
      <c r="F119" s="652"/>
      <c r="G119" s="652"/>
      <c r="H119" s="652"/>
      <c r="I119" s="652"/>
      <c r="J119" s="652"/>
      <c r="K119" s="652"/>
      <c r="L119" s="652"/>
      <c r="M119" s="652"/>
      <c r="N119" s="652"/>
      <c r="O119" s="652"/>
    </row>
    <row r="120" spans="1:15" s="114" customFormat="1">
      <c r="A120" s="643"/>
      <c r="B120" s="643"/>
      <c r="C120" s="643"/>
      <c r="D120" s="643"/>
    </row>
    <row r="121" spans="1:15" s="114" customFormat="1">
      <c r="A121" s="644" t="s">
        <v>917</v>
      </c>
      <c r="B121" s="644" t="s">
        <v>918</v>
      </c>
      <c r="C121" s="644" t="s">
        <v>919</v>
      </c>
      <c r="D121" s="644" t="s">
        <v>920</v>
      </c>
    </row>
    <row r="122" spans="1:15" s="114" customFormat="1" ht="14.4">
      <c r="A122" s="645" t="s">
        <v>1013</v>
      </c>
      <c r="B122" s="645" t="s">
        <v>963</v>
      </c>
      <c r="C122" s="645" t="s">
        <v>932</v>
      </c>
      <c r="D122" s="645" t="s">
        <v>932</v>
      </c>
    </row>
    <row r="123" spans="1:15" s="114" customFormat="1" ht="27.6">
      <c r="A123" s="637" t="s">
        <v>933</v>
      </c>
      <c r="B123" s="638" t="s">
        <v>1014</v>
      </c>
      <c r="C123" s="637" t="s">
        <v>936</v>
      </c>
      <c r="D123" s="637" t="s">
        <v>937</v>
      </c>
    </row>
    <row r="124" spans="1:15" s="114" customFormat="1" ht="15" thickBot="1">
      <c r="A124" s="650"/>
      <c r="B124" s="646"/>
      <c r="C124" s="647" t="s">
        <v>938</v>
      </c>
      <c r="D124" s="647" t="s">
        <v>990</v>
      </c>
    </row>
    <row r="125" spans="1:15" s="114" customFormat="1" ht="13.8" thickTop="1">
      <c r="A125" s="722"/>
      <c r="B125" s="648">
        <v>0.13800000000000001</v>
      </c>
      <c r="C125" s="661">
        <f>A125*B125</f>
        <v>0</v>
      </c>
      <c r="D125" s="655">
        <f>C125/10^3</f>
        <v>0</v>
      </c>
    </row>
    <row r="126" spans="1:15" s="114" customFormat="1" ht="12.75" customHeight="1">
      <c r="A126" s="2153" t="s">
        <v>1015</v>
      </c>
      <c r="B126" s="2154"/>
      <c r="C126" s="2154"/>
      <c r="D126" s="2155"/>
    </row>
    <row r="128" spans="1:15" s="114" customFormat="1">
      <c r="A128" s="652" t="s">
        <v>1052</v>
      </c>
      <c r="B128" s="652"/>
      <c r="C128" s="652"/>
      <c r="D128" s="652"/>
      <c r="E128" s="652"/>
      <c r="F128" s="652"/>
      <c r="G128" s="652"/>
      <c r="H128" s="652"/>
      <c r="I128" s="652"/>
      <c r="J128" s="652"/>
      <c r="K128" s="652"/>
      <c r="L128" s="652"/>
      <c r="M128" s="652"/>
      <c r="N128" s="652"/>
      <c r="O128" s="652"/>
    </row>
    <row r="129" spans="1:12" s="114" customFormat="1" ht="14.4">
      <c r="A129" s="662" t="s">
        <v>1016</v>
      </c>
      <c r="C129" s="641"/>
      <c r="D129" s="641"/>
      <c r="E129" s="662"/>
      <c r="G129" s="658" t="s">
        <v>1017</v>
      </c>
      <c r="I129" s="662"/>
      <c r="J129" s="662"/>
      <c r="K129" s="662"/>
    </row>
    <row r="130" spans="1:12" s="114" customFormat="1">
      <c r="A130" s="643"/>
      <c r="B130" s="659"/>
      <c r="C130" s="659"/>
      <c r="D130" s="659"/>
      <c r="E130" s="659"/>
      <c r="G130" s="643"/>
      <c r="H130" s="659"/>
      <c r="I130" s="659"/>
      <c r="J130" s="659"/>
      <c r="K130" s="659"/>
    </row>
    <row r="131" spans="1:12" s="114" customFormat="1">
      <c r="A131" s="644"/>
      <c r="B131" s="644" t="s">
        <v>917</v>
      </c>
      <c r="C131" s="644" t="s">
        <v>918</v>
      </c>
      <c r="D131" s="644" t="s">
        <v>919</v>
      </c>
      <c r="E131" s="644" t="s">
        <v>920</v>
      </c>
      <c r="G131" s="644" t="s">
        <v>917</v>
      </c>
      <c r="H131" s="2158" t="s">
        <v>918</v>
      </c>
      <c r="I131" s="2159"/>
      <c r="J131" s="644" t="s">
        <v>919</v>
      </c>
      <c r="K131" s="859" t="s">
        <v>920</v>
      </c>
      <c r="L131" s="1663"/>
    </row>
    <row r="132" spans="1:12" s="114" customFormat="1" ht="26.4">
      <c r="A132" s="645" t="s">
        <v>1018</v>
      </c>
      <c r="B132" s="645" t="s">
        <v>1019</v>
      </c>
      <c r="C132" s="645" t="s">
        <v>963</v>
      </c>
      <c r="D132" s="645" t="s">
        <v>932</v>
      </c>
      <c r="E132" s="645" t="s">
        <v>932</v>
      </c>
      <c r="G132" s="645" t="s">
        <v>1019</v>
      </c>
      <c r="H132" s="2141" t="s">
        <v>963</v>
      </c>
      <c r="I132" s="2142"/>
      <c r="J132" s="645" t="s">
        <v>1000</v>
      </c>
      <c r="K132" s="860" t="s">
        <v>1000</v>
      </c>
      <c r="L132" s="645" t="s">
        <v>932</v>
      </c>
    </row>
    <row r="133" spans="1:12" s="114" customFormat="1" ht="27.6">
      <c r="A133" s="639"/>
      <c r="B133" s="637" t="s">
        <v>933</v>
      </c>
      <c r="C133" s="638" t="s">
        <v>1020</v>
      </c>
      <c r="D133" s="637" t="s">
        <v>936</v>
      </c>
      <c r="E133" s="637" t="s">
        <v>937</v>
      </c>
      <c r="G133" s="637" t="s">
        <v>933</v>
      </c>
      <c r="H133" s="2160" t="s">
        <v>1021</v>
      </c>
      <c r="I133" s="2161"/>
      <c r="J133" s="637" t="s">
        <v>958</v>
      </c>
      <c r="K133" s="886" t="s">
        <v>966</v>
      </c>
      <c r="L133" s="637" t="s">
        <v>970</v>
      </c>
    </row>
    <row r="134" spans="1:12" s="114" customFormat="1" ht="15" thickBot="1">
      <c r="A134" s="650"/>
      <c r="B134" s="646"/>
      <c r="C134" s="647"/>
      <c r="D134" s="647" t="s">
        <v>938</v>
      </c>
      <c r="E134" s="647" t="s">
        <v>990</v>
      </c>
      <c r="G134" s="650"/>
      <c r="H134" s="2147"/>
      <c r="I134" s="2148"/>
      <c r="J134" s="647" t="s">
        <v>938</v>
      </c>
      <c r="K134" s="647" t="s">
        <v>968</v>
      </c>
      <c r="L134" s="1664" t="s">
        <v>2466</v>
      </c>
    </row>
    <row r="135" spans="1:12" s="114" customFormat="1" ht="13.8" thickTop="1">
      <c r="A135" s="2171" t="s">
        <v>2316</v>
      </c>
      <c r="B135" s="2172"/>
      <c r="C135" s="2172"/>
      <c r="D135" s="2172"/>
      <c r="E135" s="2173"/>
      <c r="G135" s="1365"/>
      <c r="H135" s="2156">
        <v>2.2999999999999998</v>
      </c>
      <c r="I135" s="2157"/>
      <c r="J135" s="671">
        <f>G135*H135</f>
        <v>0</v>
      </c>
      <c r="K135" s="671">
        <f>J135/10^6</f>
        <v>0</v>
      </c>
      <c r="L135" s="661">
        <f>K135*G7*1000</f>
        <v>0</v>
      </c>
    </row>
    <row r="136" spans="1:12" s="114" customFormat="1">
      <c r="A136" s="1575" t="s">
        <v>2317</v>
      </c>
      <c r="B136" s="1576"/>
      <c r="C136" s="1577">
        <v>0.67</v>
      </c>
      <c r="D136" s="1578">
        <f>B136*C136</f>
        <v>0</v>
      </c>
      <c r="E136" s="1567">
        <f>D136/10^3</f>
        <v>0</v>
      </c>
    </row>
    <row r="137" spans="1:12" s="114" customFormat="1">
      <c r="A137" s="2174" t="s">
        <v>2318</v>
      </c>
      <c r="B137" s="2175"/>
      <c r="C137" s="2175"/>
      <c r="D137" s="2175"/>
      <c r="E137" s="2176"/>
    </row>
    <row r="138" spans="1:12" s="114" customFormat="1">
      <c r="A138" s="1575" t="s">
        <v>2317</v>
      </c>
      <c r="B138" s="1576"/>
      <c r="C138" s="1577">
        <v>0.497</v>
      </c>
      <c r="D138" s="1578">
        <f>B138*C138</f>
        <v>0</v>
      </c>
      <c r="E138" s="1567">
        <f>D138/10^3</f>
        <v>0</v>
      </c>
    </row>
    <row r="139" spans="1:12" s="114" customFormat="1">
      <c r="A139" s="2174" t="s">
        <v>2319</v>
      </c>
      <c r="B139" s="2175"/>
      <c r="C139" s="2175"/>
      <c r="D139" s="2175"/>
      <c r="E139" s="2176"/>
    </row>
    <row r="140" spans="1:12" s="114" customFormat="1">
      <c r="A140" s="1575" t="s">
        <v>2317</v>
      </c>
      <c r="B140" s="1576"/>
      <c r="C140" s="1577">
        <v>0.38500000000000001</v>
      </c>
      <c r="D140" s="1578">
        <f>B140*C140</f>
        <v>0</v>
      </c>
      <c r="E140" s="1567">
        <f>D140/10^3</f>
        <v>0</v>
      </c>
    </row>
    <row r="141" spans="1:12" s="114" customFormat="1">
      <c r="A141" s="2174" t="s">
        <v>2320</v>
      </c>
      <c r="B141" s="2175"/>
      <c r="C141" s="2175"/>
      <c r="D141" s="2175"/>
      <c r="E141" s="2176"/>
    </row>
    <row r="142" spans="1:12" s="114" customFormat="1">
      <c r="A142" s="1575" t="s">
        <v>2317</v>
      </c>
      <c r="B142" s="1576"/>
      <c r="C142" s="1577">
        <v>0.26700000000000002</v>
      </c>
      <c r="D142" s="1578">
        <f>B142*C142</f>
        <v>0</v>
      </c>
      <c r="E142" s="1567">
        <f>D142/10^3</f>
        <v>0</v>
      </c>
    </row>
    <row r="143" spans="1:12" s="114" customFormat="1">
      <c r="A143" s="2174" t="s">
        <v>2321</v>
      </c>
      <c r="B143" s="2175"/>
      <c r="C143" s="2175"/>
      <c r="D143" s="2175"/>
      <c r="E143" s="2176"/>
    </row>
    <row r="144" spans="1:12" s="114" customFormat="1">
      <c r="A144" s="1575" t="s">
        <v>2317</v>
      </c>
      <c r="B144" s="1576"/>
      <c r="C144" s="1577">
        <v>0.39600000000000002</v>
      </c>
      <c r="D144" s="1578">
        <f>B144*C144</f>
        <v>0</v>
      </c>
      <c r="E144" s="1567">
        <f>D144/10^3</f>
        <v>0</v>
      </c>
    </row>
    <row r="145" spans="1:15" s="114" customFormat="1">
      <c r="A145" s="2174" t="s">
        <v>2322</v>
      </c>
      <c r="B145" s="2175"/>
      <c r="C145" s="2175"/>
      <c r="D145" s="2175"/>
      <c r="E145" s="2176"/>
    </row>
    <row r="146" spans="1:15" s="114" customFormat="1">
      <c r="A146" s="1575" t="s">
        <v>2317</v>
      </c>
      <c r="B146" s="1576"/>
      <c r="C146" s="1577">
        <v>0.31</v>
      </c>
      <c r="D146" s="1578">
        <f>B146*C146</f>
        <v>0</v>
      </c>
      <c r="E146" s="1567">
        <f>D146/10^3</f>
        <v>0</v>
      </c>
    </row>
    <row r="147" spans="1:15" s="114" customFormat="1">
      <c r="A147" s="2174" t="s">
        <v>2323</v>
      </c>
      <c r="B147" s="2175"/>
      <c r="C147" s="2175"/>
      <c r="D147" s="2175"/>
      <c r="E147" s="2176"/>
    </row>
    <row r="148" spans="1:15" s="114" customFormat="1">
      <c r="A148" s="1575" t="s">
        <v>2324</v>
      </c>
      <c r="B148" s="1576"/>
      <c r="C148" s="1577">
        <v>1.3759999999999999</v>
      </c>
      <c r="D148" s="1578">
        <f>B148*C148</f>
        <v>0</v>
      </c>
      <c r="E148" s="1567">
        <f>D148/10^3</f>
        <v>0</v>
      </c>
    </row>
    <row r="149" spans="1:15" s="114" customFormat="1">
      <c r="A149" s="1575" t="s">
        <v>2325</v>
      </c>
      <c r="B149" s="1576"/>
      <c r="C149" s="1577">
        <v>5.2850000000000001</v>
      </c>
      <c r="D149" s="1578">
        <f>B149*C149</f>
        <v>0</v>
      </c>
      <c r="E149" s="1567">
        <f>D149/10^3</f>
        <v>0</v>
      </c>
    </row>
    <row r="150" spans="1:15" s="114" customFormat="1">
      <c r="A150" s="1575" t="s">
        <v>2326</v>
      </c>
      <c r="B150" s="1576"/>
      <c r="C150" s="1577">
        <v>5.0199999999999996</v>
      </c>
      <c r="D150" s="1578">
        <f>B150*C150</f>
        <v>0</v>
      </c>
      <c r="E150" s="1567">
        <f>D150/10^3</f>
        <v>0</v>
      </c>
    </row>
    <row r="151" spans="1:15" s="114" customFormat="1">
      <c r="A151" s="2174" t="s">
        <v>2327</v>
      </c>
      <c r="B151" s="2175"/>
      <c r="C151" s="2175"/>
      <c r="D151" s="2175"/>
      <c r="E151" s="2176"/>
    </row>
    <row r="152" spans="1:15" s="114" customFormat="1">
      <c r="A152" s="1575" t="s">
        <v>2317</v>
      </c>
      <c r="B152" s="1576"/>
      <c r="C152" s="1577">
        <v>1.02</v>
      </c>
      <c r="D152" s="1578">
        <f>B152*C152</f>
        <v>0</v>
      </c>
      <c r="E152" s="1567">
        <f>D152/10^3</f>
        <v>0</v>
      </c>
    </row>
    <row r="153" spans="1:15" s="114" customFormat="1">
      <c r="A153" s="1567" t="s">
        <v>982</v>
      </c>
      <c r="B153" s="1579"/>
      <c r="C153" s="1579"/>
      <c r="D153" s="1567">
        <f>D136+D138+D140+D142+D144+D146+D148+D149+D150+D152</f>
        <v>0</v>
      </c>
      <c r="E153" s="1567">
        <f>E136+E138+E140+E142+E144+E146+E148+E149+E150+E152</f>
        <v>0</v>
      </c>
    </row>
    <row r="154" spans="1:15" s="114" customFormat="1" ht="44.25" customHeight="1">
      <c r="A154" s="2153" t="s">
        <v>1022</v>
      </c>
      <c r="B154" s="2154"/>
      <c r="C154" s="2154"/>
      <c r="D154" s="2154"/>
      <c r="E154" s="2155"/>
    </row>
    <row r="155" spans="1:15" s="114" customFormat="1"/>
    <row r="156" spans="1:15" s="114" customFormat="1">
      <c r="A156" s="652" t="s">
        <v>1052</v>
      </c>
      <c r="B156" s="652"/>
      <c r="C156" s="652"/>
      <c r="D156" s="652"/>
      <c r="E156" s="652"/>
      <c r="F156" s="652"/>
      <c r="G156" s="652"/>
      <c r="H156" s="652"/>
      <c r="I156" s="652"/>
      <c r="J156" s="652"/>
      <c r="K156" s="652"/>
      <c r="L156" s="652"/>
      <c r="M156" s="652"/>
      <c r="N156" s="652"/>
      <c r="O156" s="652"/>
    </row>
    <row r="157" spans="1:15" s="114" customFormat="1" ht="14.4">
      <c r="A157" s="662" t="s">
        <v>1023</v>
      </c>
      <c r="C157" s="641"/>
      <c r="D157" s="641"/>
      <c r="E157" s="662"/>
      <c r="I157" s="114" t="s">
        <v>1024</v>
      </c>
      <c r="J157" s="662"/>
      <c r="K157" s="662"/>
      <c r="L157" s="662"/>
    </row>
    <row r="158" spans="1:15" s="114" customFormat="1">
      <c r="A158" s="643"/>
      <c r="B158" s="659"/>
      <c r="C158" s="659"/>
      <c r="D158" s="659"/>
      <c r="E158" s="659"/>
      <c r="F158" s="659"/>
      <c r="I158" s="643"/>
      <c r="J158" s="659"/>
      <c r="K158" s="659"/>
      <c r="L158" s="659"/>
      <c r="M158" s="659"/>
    </row>
    <row r="159" spans="1:15" s="114" customFormat="1">
      <c r="A159" s="644"/>
      <c r="B159" s="644" t="s">
        <v>917</v>
      </c>
      <c r="C159" s="644" t="s">
        <v>918</v>
      </c>
      <c r="D159" s="644" t="s">
        <v>919</v>
      </c>
      <c r="E159" s="644" t="s">
        <v>920</v>
      </c>
      <c r="F159" s="644" t="s">
        <v>921</v>
      </c>
      <c r="I159" s="644"/>
      <c r="J159" s="644" t="s">
        <v>917</v>
      </c>
      <c r="K159" s="644" t="s">
        <v>918</v>
      </c>
      <c r="L159" s="644" t="s">
        <v>919</v>
      </c>
      <c r="M159" s="859" t="s">
        <v>920</v>
      </c>
      <c r="N159" s="1663"/>
    </row>
    <row r="160" spans="1:15" s="114" customFormat="1" ht="27.6">
      <c r="A160" s="645" t="s">
        <v>1025</v>
      </c>
      <c r="B160" s="645" t="s">
        <v>1026</v>
      </c>
      <c r="C160" s="645" t="s">
        <v>963</v>
      </c>
      <c r="D160" s="645" t="s">
        <v>1027</v>
      </c>
      <c r="E160" s="645" t="s">
        <v>932</v>
      </c>
      <c r="F160" s="645" t="s">
        <v>932</v>
      </c>
      <c r="I160" s="645" t="s">
        <v>1025</v>
      </c>
      <c r="J160" s="645" t="s">
        <v>1026</v>
      </c>
      <c r="K160" s="645" t="s">
        <v>963</v>
      </c>
      <c r="L160" s="645" t="s">
        <v>1000</v>
      </c>
      <c r="M160" s="860" t="s">
        <v>1000</v>
      </c>
      <c r="N160" s="645" t="s">
        <v>932</v>
      </c>
    </row>
    <row r="161" spans="1:16" s="114" customFormat="1" ht="27.6">
      <c r="A161" s="639"/>
      <c r="B161" s="637" t="s">
        <v>933</v>
      </c>
      <c r="C161" s="638" t="s">
        <v>1028</v>
      </c>
      <c r="D161" s="637" t="s">
        <v>1029</v>
      </c>
      <c r="E161" s="637" t="s">
        <v>936</v>
      </c>
      <c r="F161" s="637" t="s">
        <v>937</v>
      </c>
      <c r="I161" s="639"/>
      <c r="J161" s="637" t="s">
        <v>933</v>
      </c>
      <c r="K161" s="638" t="s">
        <v>1030</v>
      </c>
      <c r="L161" s="637" t="s">
        <v>958</v>
      </c>
      <c r="M161" s="886" t="s">
        <v>966</v>
      </c>
      <c r="N161" s="637" t="s">
        <v>970</v>
      </c>
    </row>
    <row r="162" spans="1:16" s="114" customFormat="1" ht="15" thickBot="1">
      <c r="A162" s="650"/>
      <c r="B162" s="646"/>
      <c r="C162" s="647"/>
      <c r="D162" s="647"/>
      <c r="E162" s="647" t="s">
        <v>1031</v>
      </c>
      <c r="F162" s="647" t="s">
        <v>1032</v>
      </c>
      <c r="I162" s="650"/>
      <c r="J162" s="646"/>
      <c r="K162" s="647"/>
      <c r="L162" s="647" t="s">
        <v>938</v>
      </c>
      <c r="M162" s="647" t="s">
        <v>968</v>
      </c>
      <c r="N162" s="1664" t="s">
        <v>2466</v>
      </c>
    </row>
    <row r="163" spans="1:16" s="114" customFormat="1" ht="14.4" thickTop="1" thickBot="1">
      <c r="A163" s="648"/>
      <c r="B163" s="935"/>
      <c r="C163" s="1371">
        <v>0.76</v>
      </c>
      <c r="D163" s="936">
        <v>1.3</v>
      </c>
      <c r="E163" s="671">
        <f>B163*C163*D163/100</f>
        <v>0</v>
      </c>
      <c r="F163" s="671">
        <f>E163/10^3</f>
        <v>0</v>
      </c>
      <c r="I163" s="732"/>
      <c r="J163" s="1366">
        <f>B163</f>
        <v>0</v>
      </c>
      <c r="K163" s="1373">
        <v>6</v>
      </c>
      <c r="L163" s="661">
        <f>J163*K163</f>
        <v>0</v>
      </c>
      <c r="M163" s="661">
        <f>L163/10^6</f>
        <v>0</v>
      </c>
      <c r="N163" s="661">
        <f>M163*G7*1000</f>
        <v>0</v>
      </c>
    </row>
    <row r="164" spans="1:16" s="114" customFormat="1" ht="13.8" thickTop="1">
      <c r="A164" s="648" t="s">
        <v>982</v>
      </c>
      <c r="B164" s="669"/>
      <c r="C164" s="669"/>
      <c r="D164" s="669"/>
      <c r="E164" s="655">
        <f>SUM(E163)</f>
        <v>0</v>
      </c>
      <c r="F164" s="655">
        <f>SUM(F163)</f>
        <v>0</v>
      </c>
      <c r="I164" s="648" t="s">
        <v>982</v>
      </c>
      <c r="J164" s="669"/>
      <c r="K164" s="669"/>
      <c r="L164" s="654"/>
      <c r="M164" s="655">
        <f>SUM(M163)</f>
        <v>0</v>
      </c>
      <c r="N164" s="1571">
        <f>SUM(N163)</f>
        <v>0</v>
      </c>
    </row>
    <row r="165" spans="1:16" s="114" customFormat="1" ht="50.25" customHeight="1">
      <c r="A165" s="2153" t="s">
        <v>1033</v>
      </c>
      <c r="B165" s="2154"/>
      <c r="C165" s="2154"/>
      <c r="D165" s="2154"/>
      <c r="E165" s="2154"/>
      <c r="F165" s="2155"/>
      <c r="I165" s="2153" t="s">
        <v>1034</v>
      </c>
      <c r="J165" s="2154"/>
      <c r="K165" s="2154"/>
      <c r="L165" s="2154"/>
      <c r="M165" s="2155"/>
    </row>
    <row r="166" spans="1:16" s="114" customFormat="1"/>
    <row r="167" spans="1:16" s="114" customFormat="1">
      <c r="A167" s="652" t="s">
        <v>972</v>
      </c>
      <c r="B167" s="652"/>
      <c r="C167" s="652"/>
      <c r="D167" s="652"/>
      <c r="E167" s="652"/>
      <c r="F167" s="652"/>
      <c r="G167" s="652"/>
      <c r="H167" s="652"/>
      <c r="I167" s="652"/>
      <c r="J167" s="652"/>
      <c r="K167" s="652"/>
      <c r="L167" s="652"/>
      <c r="M167" s="652"/>
      <c r="N167" s="652"/>
      <c r="O167" s="652"/>
    </row>
    <row r="168" spans="1:16" s="114" customFormat="1" ht="14.4">
      <c r="A168" s="662" t="s">
        <v>1035</v>
      </c>
      <c r="C168" s="641"/>
      <c r="D168" s="641"/>
      <c r="E168" s="662"/>
      <c r="I168" s="662" t="s">
        <v>1036</v>
      </c>
      <c r="K168" s="641"/>
      <c r="L168" s="641"/>
      <c r="M168" s="662"/>
    </row>
    <row r="169" spans="1:16" s="114" customFormat="1">
      <c r="A169" s="643"/>
      <c r="B169" s="2183"/>
      <c r="C169" s="2184"/>
      <c r="D169" s="2183"/>
      <c r="E169" s="2184"/>
      <c r="F169" s="659"/>
      <c r="G169" s="659"/>
      <c r="I169" s="643"/>
      <c r="J169" s="2183"/>
      <c r="K169" s="2184"/>
      <c r="L169" s="2183"/>
      <c r="M169" s="2184"/>
      <c r="N169" s="659"/>
      <c r="O169" s="659"/>
    </row>
    <row r="170" spans="1:16" s="114" customFormat="1">
      <c r="A170" s="644"/>
      <c r="B170" s="2139" t="s">
        <v>917</v>
      </c>
      <c r="C170" s="2140"/>
      <c r="D170" s="2139" t="s">
        <v>918</v>
      </c>
      <c r="E170" s="2140"/>
      <c r="F170" s="644" t="s">
        <v>919</v>
      </c>
      <c r="G170" s="644" t="s">
        <v>920</v>
      </c>
      <c r="I170" s="644"/>
      <c r="J170" s="2139" t="s">
        <v>917</v>
      </c>
      <c r="K170" s="2140"/>
      <c r="L170" s="2139" t="s">
        <v>918</v>
      </c>
      <c r="M170" s="2140"/>
      <c r="N170" s="644" t="s">
        <v>919</v>
      </c>
      <c r="O170" s="644" t="s">
        <v>920</v>
      </c>
      <c r="P170" s="1663"/>
    </row>
    <row r="171" spans="1:16" s="114" customFormat="1" ht="27.6">
      <c r="A171" s="645" t="s">
        <v>1037</v>
      </c>
      <c r="B171" s="2141" t="s">
        <v>1038</v>
      </c>
      <c r="C171" s="2142"/>
      <c r="D171" s="2141" t="s">
        <v>963</v>
      </c>
      <c r="E171" s="2142"/>
      <c r="F171" s="645" t="s">
        <v>932</v>
      </c>
      <c r="G171" s="645" t="s">
        <v>932</v>
      </c>
      <c r="I171" s="645" t="s">
        <v>1037</v>
      </c>
      <c r="J171" s="2141" t="s">
        <v>1038</v>
      </c>
      <c r="K171" s="2142"/>
      <c r="L171" s="2141" t="s">
        <v>963</v>
      </c>
      <c r="M171" s="2142"/>
      <c r="N171" s="645" t="s">
        <v>1000</v>
      </c>
      <c r="O171" s="645" t="s">
        <v>1000</v>
      </c>
      <c r="P171" s="645" t="s">
        <v>932</v>
      </c>
    </row>
    <row r="172" spans="1:16" s="114" customFormat="1" ht="24.75" customHeight="1">
      <c r="A172" s="639"/>
      <c r="B172" s="2145" t="s">
        <v>1039</v>
      </c>
      <c r="C172" s="2146"/>
      <c r="D172" s="2145" t="s">
        <v>1040</v>
      </c>
      <c r="E172" s="2146"/>
      <c r="F172" s="637" t="s">
        <v>936</v>
      </c>
      <c r="G172" s="637" t="s">
        <v>937</v>
      </c>
      <c r="I172" s="639"/>
      <c r="J172" s="2145" t="s">
        <v>1039</v>
      </c>
      <c r="K172" s="2146"/>
      <c r="L172" s="2145" t="s">
        <v>1041</v>
      </c>
      <c r="M172" s="2146"/>
      <c r="N172" s="637" t="s">
        <v>958</v>
      </c>
      <c r="O172" s="637" t="s">
        <v>1002</v>
      </c>
      <c r="P172" s="637" t="s">
        <v>970</v>
      </c>
    </row>
    <row r="173" spans="1:16" s="114" customFormat="1" ht="15" thickBot="1">
      <c r="A173" s="650"/>
      <c r="B173" s="2147"/>
      <c r="C173" s="2148"/>
      <c r="D173" s="2147"/>
      <c r="E173" s="2148"/>
      <c r="F173" s="647" t="s">
        <v>938</v>
      </c>
      <c r="G173" s="647" t="s">
        <v>990</v>
      </c>
      <c r="I173" s="650"/>
      <c r="J173" s="2147"/>
      <c r="K173" s="2148"/>
      <c r="L173" s="2147"/>
      <c r="M173" s="2148"/>
      <c r="N173" s="647" t="s">
        <v>938</v>
      </c>
      <c r="O173" s="647" t="s">
        <v>968</v>
      </c>
      <c r="P173" s="1664" t="s">
        <v>2466</v>
      </c>
    </row>
    <row r="174" spans="1:16" s="114" customFormat="1" ht="14.4" thickTop="1" thickBot="1">
      <c r="A174" s="728"/>
      <c r="B174" s="2149"/>
      <c r="C174" s="2150"/>
      <c r="D174" s="930">
        <v>0.29399999999999998</v>
      </c>
      <c r="E174" s="930"/>
      <c r="F174" s="1580">
        <f>B174*D174</f>
        <v>0</v>
      </c>
      <c r="G174" s="1581">
        <f>F174/10^3</f>
        <v>0</v>
      </c>
      <c r="I174" s="728"/>
      <c r="J174" s="2167">
        <f>B174</f>
        <v>0</v>
      </c>
      <c r="K174" s="2168"/>
      <c r="L174" s="2181">
        <v>2.2599999999999999E-2</v>
      </c>
      <c r="M174" s="2182"/>
      <c r="N174" s="1580">
        <f>J174*L174</f>
        <v>0</v>
      </c>
      <c r="O174" s="671">
        <f>N174/10^6</f>
        <v>0</v>
      </c>
      <c r="P174" s="661">
        <f>O174*G7*1000</f>
        <v>0</v>
      </c>
    </row>
    <row r="175" spans="1:16" s="114" customFormat="1" ht="13.8" thickTop="1">
      <c r="A175" s="648" t="s">
        <v>982</v>
      </c>
      <c r="B175" s="2151"/>
      <c r="C175" s="2152"/>
      <c r="D175" s="2151"/>
      <c r="E175" s="2152"/>
      <c r="F175" s="1661">
        <f>SUM(F174)</f>
        <v>0</v>
      </c>
      <c r="G175" s="1582">
        <f>SUM(G174)</f>
        <v>0</v>
      </c>
      <c r="I175" s="648" t="s">
        <v>982</v>
      </c>
      <c r="J175" s="2151"/>
      <c r="K175" s="2152"/>
      <c r="L175" s="2151"/>
      <c r="M175" s="2152"/>
      <c r="N175" s="1582"/>
      <c r="O175" s="655">
        <f>SUM(O174)</f>
        <v>0</v>
      </c>
      <c r="P175" s="1571">
        <f>SUM(P174)</f>
        <v>0</v>
      </c>
    </row>
    <row r="176" spans="1:16" s="114" customFormat="1" ht="56.25" customHeight="1">
      <c r="A176" s="2143" t="s">
        <v>1042</v>
      </c>
      <c r="B176" s="2144"/>
      <c r="C176" s="2144"/>
      <c r="D176" s="2144"/>
      <c r="E176" s="2144"/>
      <c r="F176" s="2144"/>
      <c r="G176" s="2144"/>
      <c r="I176" s="2143" t="s">
        <v>1043</v>
      </c>
      <c r="J176" s="2144"/>
      <c r="K176" s="2144"/>
      <c r="L176" s="2144"/>
      <c r="M176" s="2144"/>
      <c r="N176" s="2144"/>
      <c r="O176" s="2144"/>
    </row>
    <row r="177" spans="1:15" s="114" customFormat="1"/>
    <row r="178" spans="1:15" s="114" customFormat="1">
      <c r="A178" s="652" t="s">
        <v>972</v>
      </c>
      <c r="B178" s="652"/>
      <c r="C178" s="652"/>
      <c r="D178" s="652"/>
      <c r="E178" s="652"/>
      <c r="F178" s="652"/>
      <c r="G178" s="652"/>
      <c r="H178" s="652"/>
      <c r="I178" s="652"/>
      <c r="J178" s="652"/>
      <c r="K178" s="652"/>
      <c r="L178" s="652"/>
      <c r="M178" s="652"/>
      <c r="N178" s="652"/>
      <c r="O178" s="652"/>
    </row>
    <row r="179" spans="1:15" s="114" customFormat="1" ht="14.4">
      <c r="A179" s="658" t="s">
        <v>1044</v>
      </c>
      <c r="C179" s="641"/>
      <c r="D179" s="641"/>
      <c r="E179" s="640"/>
      <c r="G179" s="658" t="s">
        <v>1045</v>
      </c>
      <c r="I179" s="641"/>
      <c r="J179" s="641"/>
      <c r="K179" s="640"/>
    </row>
    <row r="180" spans="1:15" s="114" customFormat="1">
      <c r="A180" s="643"/>
      <c r="B180" s="659"/>
      <c r="C180" s="659"/>
      <c r="D180" s="659"/>
      <c r="E180" s="659"/>
      <c r="G180" s="643"/>
      <c r="H180" s="659"/>
      <c r="I180" s="659"/>
      <c r="J180" s="659"/>
      <c r="K180" s="659"/>
    </row>
    <row r="181" spans="1:15" s="114" customFormat="1">
      <c r="A181" s="644"/>
      <c r="B181" s="644" t="s">
        <v>917</v>
      </c>
      <c r="C181" s="644" t="s">
        <v>918</v>
      </c>
      <c r="D181" s="644" t="s">
        <v>919</v>
      </c>
      <c r="E181" s="644" t="s">
        <v>920</v>
      </c>
      <c r="G181" s="644"/>
      <c r="H181" s="644" t="s">
        <v>917</v>
      </c>
      <c r="I181" s="644" t="s">
        <v>918</v>
      </c>
      <c r="J181" s="644" t="s">
        <v>919</v>
      </c>
      <c r="K181" s="644" t="s">
        <v>920</v>
      </c>
      <c r="L181" s="1663"/>
    </row>
    <row r="182" spans="1:15" s="114" customFormat="1" ht="27.6">
      <c r="A182" s="645" t="s">
        <v>1037</v>
      </c>
      <c r="B182" s="645" t="s">
        <v>1046</v>
      </c>
      <c r="C182" s="645" t="s">
        <v>963</v>
      </c>
      <c r="D182" s="645" t="s">
        <v>932</v>
      </c>
      <c r="E182" s="645" t="s">
        <v>932</v>
      </c>
      <c r="G182" s="645" t="s">
        <v>1037</v>
      </c>
      <c r="H182" s="645" t="s">
        <v>1046</v>
      </c>
      <c r="I182" s="645" t="s">
        <v>963</v>
      </c>
      <c r="J182" s="645" t="s">
        <v>1000</v>
      </c>
      <c r="K182" s="645" t="s">
        <v>1000</v>
      </c>
      <c r="L182" s="645" t="s">
        <v>932</v>
      </c>
    </row>
    <row r="183" spans="1:15" s="114" customFormat="1" ht="40.799999999999997">
      <c r="A183" s="637"/>
      <c r="B183" s="638" t="s">
        <v>1047</v>
      </c>
      <c r="C183" s="638" t="s">
        <v>1048</v>
      </c>
      <c r="D183" s="637" t="s">
        <v>936</v>
      </c>
      <c r="E183" s="637" t="s">
        <v>937</v>
      </c>
      <c r="G183" s="637"/>
      <c r="H183" s="638" t="s">
        <v>1047</v>
      </c>
      <c r="I183" s="638" t="s">
        <v>1049</v>
      </c>
      <c r="J183" s="637" t="s">
        <v>958</v>
      </c>
      <c r="K183" s="637" t="s">
        <v>966</v>
      </c>
      <c r="L183" s="637" t="s">
        <v>970</v>
      </c>
    </row>
    <row r="184" spans="1:15" s="114" customFormat="1" ht="15" thickBot="1">
      <c r="A184" s="650"/>
      <c r="B184" s="646"/>
      <c r="C184" s="647"/>
      <c r="D184" s="647" t="s">
        <v>938</v>
      </c>
      <c r="E184" s="647" t="s">
        <v>990</v>
      </c>
      <c r="G184" s="650"/>
      <c r="H184" s="646"/>
      <c r="I184" s="647"/>
      <c r="J184" s="647" t="s">
        <v>938</v>
      </c>
      <c r="K184" s="647" t="s">
        <v>968</v>
      </c>
      <c r="L184" s="1664" t="s">
        <v>2466</v>
      </c>
    </row>
    <row r="185" spans="1:15" s="114" customFormat="1" ht="14.4" thickTop="1" thickBot="1">
      <c r="A185" s="728"/>
      <c r="B185" s="722"/>
      <c r="C185" s="1372">
        <v>0.86299999999999999</v>
      </c>
      <c r="D185" s="661">
        <f>B185*C185</f>
        <v>0</v>
      </c>
      <c r="E185" s="661">
        <f>D185/10^3</f>
        <v>0</v>
      </c>
      <c r="G185" s="728"/>
      <c r="H185" s="722"/>
      <c r="I185" s="1372">
        <v>1.79</v>
      </c>
      <c r="J185" s="661">
        <f>H185*I185</f>
        <v>0</v>
      </c>
      <c r="K185" s="671">
        <f>J185/10^6</f>
        <v>0</v>
      </c>
      <c r="L185" s="661">
        <f>K185*G7*1000</f>
        <v>0</v>
      </c>
    </row>
    <row r="186" spans="1:15" s="114" customFormat="1" ht="13.8" thickTop="1">
      <c r="A186" s="648" t="s">
        <v>982</v>
      </c>
      <c r="B186" s="669"/>
      <c r="C186" s="669"/>
      <c r="D186" s="655">
        <f>SUM(D185)</f>
        <v>0</v>
      </c>
      <c r="E186" s="655">
        <f>SUM(E185)</f>
        <v>0</v>
      </c>
      <c r="G186" s="648" t="s">
        <v>982</v>
      </c>
      <c r="H186" s="669"/>
      <c r="I186" s="669"/>
      <c r="J186" s="654"/>
      <c r="K186" s="655">
        <f>SUM(K185)</f>
        <v>0</v>
      </c>
      <c r="L186" s="1571">
        <f>SUM(L185)</f>
        <v>0</v>
      </c>
    </row>
    <row r="187" spans="1:15" s="114" customFormat="1" ht="45.75" customHeight="1">
      <c r="A187" s="2153" t="s">
        <v>1050</v>
      </c>
      <c r="B187" s="2154"/>
      <c r="C187" s="2154"/>
      <c r="D187" s="2154"/>
      <c r="E187" s="2155"/>
      <c r="G187" s="2153" t="s">
        <v>1051</v>
      </c>
      <c r="H187" s="2169"/>
      <c r="I187" s="2169"/>
      <c r="J187" s="2169"/>
      <c r="K187" s="2170"/>
    </row>
    <row r="188" spans="1:15" s="114" customFormat="1"/>
    <row r="189" spans="1:15" s="114" customFormat="1">
      <c r="A189" s="652" t="s">
        <v>1052</v>
      </c>
      <c r="B189" s="652"/>
      <c r="C189" s="652"/>
      <c r="D189" s="652"/>
      <c r="E189" s="652"/>
      <c r="F189" s="652"/>
      <c r="G189" s="652"/>
      <c r="H189" s="652"/>
      <c r="I189" s="652"/>
      <c r="J189" s="652"/>
      <c r="K189" s="652"/>
      <c r="L189" s="652"/>
      <c r="M189" s="652"/>
      <c r="N189" s="652"/>
      <c r="O189" s="652"/>
    </row>
    <row r="190" spans="1:15" s="114" customFormat="1" ht="14.4">
      <c r="A190" s="658" t="s">
        <v>1053</v>
      </c>
      <c r="C190" s="641"/>
      <c r="D190" s="641"/>
      <c r="E190" s="640"/>
      <c r="G190" s="658" t="s">
        <v>1054</v>
      </c>
      <c r="I190" s="641"/>
      <c r="J190" s="641"/>
      <c r="K190" s="640"/>
    </row>
    <row r="191" spans="1:15" s="114" customFormat="1">
      <c r="A191" s="643"/>
      <c r="B191" s="659"/>
      <c r="C191" s="659"/>
      <c r="D191" s="659"/>
      <c r="E191" s="659"/>
      <c r="G191" s="643"/>
      <c r="H191" s="659"/>
      <c r="I191" s="659"/>
      <c r="J191" s="659"/>
      <c r="K191" s="659"/>
    </row>
    <row r="192" spans="1:15" s="114" customFormat="1">
      <c r="A192" s="644"/>
      <c r="B192" s="644" t="s">
        <v>917</v>
      </c>
      <c r="C192" s="644" t="s">
        <v>918</v>
      </c>
      <c r="D192" s="644" t="s">
        <v>919</v>
      </c>
      <c r="E192" s="644" t="s">
        <v>920</v>
      </c>
      <c r="G192" s="644"/>
      <c r="H192" s="644" t="s">
        <v>917</v>
      </c>
      <c r="I192" s="644" t="s">
        <v>918</v>
      </c>
      <c r="J192" s="644" t="s">
        <v>919</v>
      </c>
      <c r="K192" s="644" t="s">
        <v>920</v>
      </c>
      <c r="L192" s="1663"/>
    </row>
    <row r="193" spans="1:15" s="114" customFormat="1" ht="27.6">
      <c r="A193" s="645" t="s">
        <v>1037</v>
      </c>
      <c r="B193" s="645" t="s">
        <v>1055</v>
      </c>
      <c r="C193" s="645" t="s">
        <v>963</v>
      </c>
      <c r="D193" s="645" t="s">
        <v>932</v>
      </c>
      <c r="E193" s="645" t="s">
        <v>932</v>
      </c>
      <c r="G193" s="645" t="s">
        <v>1037</v>
      </c>
      <c r="H193" s="645" t="s">
        <v>1055</v>
      </c>
      <c r="I193" s="645" t="s">
        <v>963</v>
      </c>
      <c r="J193" s="645" t="s">
        <v>1000</v>
      </c>
      <c r="K193" s="645" t="s">
        <v>1000</v>
      </c>
      <c r="L193" s="645" t="s">
        <v>932</v>
      </c>
    </row>
    <row r="194" spans="1:15" s="114" customFormat="1" ht="27.6">
      <c r="A194" s="639"/>
      <c r="B194" s="638" t="s">
        <v>1056</v>
      </c>
      <c r="C194" s="638" t="s">
        <v>1057</v>
      </c>
      <c r="D194" s="637" t="s">
        <v>936</v>
      </c>
      <c r="E194" s="637" t="s">
        <v>937</v>
      </c>
      <c r="G194" s="639"/>
      <c r="H194" s="638" t="s">
        <v>1056</v>
      </c>
      <c r="I194" s="638" t="s">
        <v>1058</v>
      </c>
      <c r="J194" s="637" t="s">
        <v>958</v>
      </c>
      <c r="K194" s="637" t="s">
        <v>966</v>
      </c>
      <c r="L194" s="637" t="s">
        <v>970</v>
      </c>
    </row>
    <row r="195" spans="1:15" s="114" customFormat="1" ht="15" thickBot="1">
      <c r="A195" s="650"/>
      <c r="B195" s="646"/>
      <c r="C195" s="647"/>
      <c r="D195" s="647" t="s">
        <v>938</v>
      </c>
      <c r="E195" s="647" t="s">
        <v>990</v>
      </c>
      <c r="G195" s="650"/>
      <c r="H195" s="646"/>
      <c r="I195" s="647"/>
      <c r="J195" s="647" t="s">
        <v>938</v>
      </c>
      <c r="K195" s="647" t="s">
        <v>968</v>
      </c>
      <c r="L195" s="1664" t="s">
        <v>2466</v>
      </c>
    </row>
    <row r="196" spans="1:15" s="114" customFormat="1" ht="14.4" thickTop="1" thickBot="1">
      <c r="A196" s="728"/>
      <c r="B196" s="723"/>
      <c r="C196" s="1373">
        <v>1</v>
      </c>
      <c r="D196" s="661">
        <f>B196*C196</f>
        <v>0</v>
      </c>
      <c r="E196" s="661">
        <f>D196/10^3</f>
        <v>0</v>
      </c>
      <c r="G196" s="728"/>
      <c r="H196" s="723"/>
      <c r="I196" s="1372">
        <v>0.18</v>
      </c>
      <c r="J196" s="661">
        <f>H196*I196</f>
        <v>0</v>
      </c>
      <c r="K196" s="671">
        <f>J196/10^6</f>
        <v>0</v>
      </c>
      <c r="L196" s="661">
        <f>K196*G7*1000</f>
        <v>0</v>
      </c>
    </row>
    <row r="197" spans="1:15" s="114" customFormat="1" ht="13.8" thickTop="1">
      <c r="A197" s="648" t="s">
        <v>982</v>
      </c>
      <c r="B197" s="669"/>
      <c r="C197" s="669"/>
      <c r="D197" s="655">
        <f>SUM(D196)</f>
        <v>0</v>
      </c>
      <c r="E197" s="655">
        <f>SUM(E196)</f>
        <v>0</v>
      </c>
      <c r="G197" s="648" t="s">
        <v>982</v>
      </c>
      <c r="H197" s="669"/>
      <c r="I197" s="669"/>
      <c r="J197" s="654"/>
      <c r="K197" s="655">
        <f>SUM(K196)</f>
        <v>0</v>
      </c>
      <c r="L197" s="1571">
        <f>SUM(L196)</f>
        <v>0</v>
      </c>
    </row>
    <row r="198" spans="1:15" s="114" customFormat="1" ht="43.5" customHeight="1">
      <c r="A198" s="2153" t="s">
        <v>1059</v>
      </c>
      <c r="B198" s="2154"/>
      <c r="C198" s="2154"/>
      <c r="D198" s="2154"/>
      <c r="E198" s="2155"/>
      <c r="G198" s="2153" t="s">
        <v>1059</v>
      </c>
      <c r="H198" s="2169"/>
      <c r="I198" s="2169"/>
      <c r="J198" s="2169"/>
      <c r="K198" s="2170"/>
    </row>
    <row r="199" spans="1:15" s="114" customFormat="1"/>
    <row r="200" spans="1:15" s="114" customFormat="1">
      <c r="A200" s="652" t="s">
        <v>972</v>
      </c>
      <c r="B200" s="652"/>
      <c r="C200" s="652"/>
      <c r="D200" s="652"/>
      <c r="E200" s="652"/>
      <c r="F200" s="652"/>
      <c r="G200" s="652"/>
      <c r="H200" s="652"/>
      <c r="I200" s="652"/>
      <c r="J200" s="652"/>
      <c r="K200" s="652"/>
      <c r="L200" s="652"/>
      <c r="M200" s="652"/>
      <c r="N200" s="652"/>
      <c r="O200" s="652"/>
    </row>
    <row r="201" spans="1:15" s="114" customFormat="1" ht="14.4">
      <c r="A201" s="658" t="s">
        <v>1060</v>
      </c>
      <c r="C201" s="641"/>
      <c r="D201" s="641"/>
      <c r="E201" s="640"/>
      <c r="G201" s="729" t="s">
        <v>1061</v>
      </c>
      <c r="I201" s="730"/>
      <c r="J201" s="730"/>
      <c r="K201" s="731"/>
    </row>
    <row r="202" spans="1:15" s="114" customFormat="1">
      <c r="A202" s="643"/>
      <c r="B202" s="659"/>
      <c r="C202" s="659"/>
      <c r="D202" s="659"/>
      <c r="E202" s="659"/>
      <c r="G202" s="643"/>
      <c r="H202" s="659"/>
      <c r="I202" s="659"/>
      <c r="J202" s="659"/>
      <c r="K202" s="659"/>
    </row>
    <row r="203" spans="1:15" s="114" customFormat="1">
      <c r="A203" s="644"/>
      <c r="B203" s="644" t="s">
        <v>917</v>
      </c>
      <c r="C203" s="644" t="s">
        <v>918</v>
      </c>
      <c r="D203" s="644" t="s">
        <v>919</v>
      </c>
      <c r="E203" s="644" t="s">
        <v>920</v>
      </c>
      <c r="G203" s="644"/>
      <c r="H203" s="644" t="s">
        <v>917</v>
      </c>
      <c r="I203" s="644" t="s">
        <v>918</v>
      </c>
      <c r="J203" s="644" t="s">
        <v>919</v>
      </c>
      <c r="K203" s="644" t="s">
        <v>920</v>
      </c>
      <c r="L203" s="1663"/>
    </row>
    <row r="204" spans="1:15" s="114" customFormat="1" ht="27.6">
      <c r="A204" s="645" t="s">
        <v>1037</v>
      </c>
      <c r="B204" s="645" t="s">
        <v>1062</v>
      </c>
      <c r="C204" s="645" t="s">
        <v>963</v>
      </c>
      <c r="D204" s="645" t="s">
        <v>932</v>
      </c>
      <c r="E204" s="645" t="s">
        <v>932</v>
      </c>
      <c r="G204" s="645" t="s">
        <v>1037</v>
      </c>
      <c r="H204" s="645" t="s">
        <v>1062</v>
      </c>
      <c r="I204" s="645" t="s">
        <v>963</v>
      </c>
      <c r="J204" s="645" t="s">
        <v>1000</v>
      </c>
      <c r="K204" s="645" t="s">
        <v>1000</v>
      </c>
      <c r="L204" s="645" t="s">
        <v>932</v>
      </c>
    </row>
    <row r="205" spans="1:15" s="114" customFormat="1" ht="27.6">
      <c r="A205" s="639"/>
      <c r="B205" s="638" t="s">
        <v>1063</v>
      </c>
      <c r="C205" s="638" t="s">
        <v>1064</v>
      </c>
      <c r="D205" s="637" t="s">
        <v>936</v>
      </c>
      <c r="E205" s="637" t="s">
        <v>937</v>
      </c>
      <c r="G205" s="639"/>
      <c r="H205" s="638" t="s">
        <v>1063</v>
      </c>
      <c r="I205" s="638" t="s">
        <v>1065</v>
      </c>
      <c r="J205" s="637" t="s">
        <v>958</v>
      </c>
      <c r="K205" s="637" t="s">
        <v>966</v>
      </c>
      <c r="L205" s="637" t="s">
        <v>970</v>
      </c>
    </row>
    <row r="206" spans="1:15" s="114" customFormat="1" ht="15" thickBot="1">
      <c r="A206" s="650"/>
      <c r="B206" s="646"/>
      <c r="C206" s="647"/>
      <c r="D206" s="647" t="s">
        <v>938</v>
      </c>
      <c r="E206" s="647" t="s">
        <v>990</v>
      </c>
      <c r="G206" s="650"/>
      <c r="H206" s="646"/>
      <c r="I206" s="647"/>
      <c r="J206" s="647" t="s">
        <v>938</v>
      </c>
      <c r="K206" s="647" t="s">
        <v>968</v>
      </c>
      <c r="L206" s="1664" t="s">
        <v>2466</v>
      </c>
    </row>
    <row r="207" spans="1:15" s="114" customFormat="1" ht="14.4" thickTop="1" thickBot="1">
      <c r="A207" s="728"/>
      <c r="B207" s="723"/>
      <c r="C207" s="1372">
        <v>2.62</v>
      </c>
      <c r="D207" s="661">
        <f>B207*C207</f>
        <v>0</v>
      </c>
      <c r="E207" s="661">
        <f>D207/10^3</f>
        <v>0</v>
      </c>
      <c r="G207" s="728"/>
      <c r="H207" s="723"/>
      <c r="I207" s="1372">
        <v>0.06</v>
      </c>
      <c r="J207" s="661">
        <f>H207*I207</f>
        <v>0</v>
      </c>
      <c r="K207" s="671">
        <f>J207/10^6</f>
        <v>0</v>
      </c>
      <c r="L207" s="661">
        <f>K207*G7*1000</f>
        <v>0</v>
      </c>
    </row>
    <row r="208" spans="1:15" s="114" customFormat="1" ht="13.8" thickTop="1">
      <c r="A208" s="648" t="s">
        <v>982</v>
      </c>
      <c r="B208" s="669"/>
      <c r="C208" s="669"/>
      <c r="D208" s="655">
        <f>SUM(D207)</f>
        <v>0</v>
      </c>
      <c r="E208" s="655">
        <f>SUM(E207)</f>
        <v>0</v>
      </c>
      <c r="G208" s="648" t="s">
        <v>982</v>
      </c>
      <c r="H208" s="669"/>
      <c r="I208" s="669"/>
      <c r="J208" s="654"/>
      <c r="K208" s="655">
        <f>SUM(K207)</f>
        <v>0</v>
      </c>
      <c r="L208" s="1571">
        <f>SUM(L207)</f>
        <v>0</v>
      </c>
    </row>
    <row r="209" spans="1:15" s="114" customFormat="1" ht="48" customHeight="1">
      <c r="A209" s="2153" t="s">
        <v>1066</v>
      </c>
      <c r="B209" s="2154"/>
      <c r="C209" s="2154"/>
      <c r="D209" s="2154"/>
      <c r="E209" s="2155"/>
      <c r="G209" s="2153" t="s">
        <v>1067</v>
      </c>
      <c r="H209" s="2169"/>
      <c r="I209" s="2169"/>
      <c r="J209" s="2169"/>
      <c r="K209" s="2170"/>
    </row>
    <row r="211" spans="1:15" s="114" customFormat="1">
      <c r="A211" s="663" t="s">
        <v>1068</v>
      </c>
      <c r="B211" s="663"/>
      <c r="C211" s="663"/>
      <c r="D211" s="663"/>
      <c r="E211" s="663"/>
      <c r="F211" s="663"/>
      <c r="G211" s="663"/>
      <c r="H211" s="663"/>
      <c r="I211" s="663"/>
      <c r="J211" s="663"/>
      <c r="K211" s="663"/>
      <c r="L211" s="663"/>
      <c r="M211" s="663"/>
      <c r="N211" s="663"/>
      <c r="O211" s="663"/>
    </row>
    <row r="212" spans="1:15" s="114" customFormat="1" ht="14.4">
      <c r="A212" s="658" t="s">
        <v>1069</v>
      </c>
      <c r="G212" s="114" t="s">
        <v>1070</v>
      </c>
    </row>
    <row r="213" spans="1:15" s="114" customFormat="1">
      <c r="A213" s="643"/>
      <c r="B213" s="643"/>
      <c r="C213" s="643"/>
      <c r="D213" s="643"/>
      <c r="E213" s="643"/>
      <c r="G213" s="643"/>
      <c r="H213" s="643"/>
      <c r="I213" s="643"/>
      <c r="J213" s="643"/>
      <c r="K213" s="643"/>
      <c r="L213" s="643"/>
    </row>
    <row r="214" spans="1:15" s="114" customFormat="1">
      <c r="A214" s="644"/>
      <c r="B214" s="644" t="s">
        <v>917</v>
      </c>
      <c r="C214" s="644" t="s">
        <v>918</v>
      </c>
      <c r="D214" s="644" t="s">
        <v>919</v>
      </c>
      <c r="E214" s="644" t="s">
        <v>920</v>
      </c>
      <c r="G214" s="644" t="s">
        <v>917</v>
      </c>
      <c r="H214" s="2158" t="s">
        <v>918</v>
      </c>
      <c r="I214" s="2159"/>
      <c r="J214" s="644" t="s">
        <v>919</v>
      </c>
      <c r="K214" s="644" t="s">
        <v>920</v>
      </c>
      <c r="L214" s="644" t="s">
        <v>962</v>
      </c>
    </row>
    <row r="215" spans="1:15" s="114" customFormat="1" ht="26.4">
      <c r="A215" s="645" t="s">
        <v>1071</v>
      </c>
      <c r="B215" s="645" t="s">
        <v>1072</v>
      </c>
      <c r="C215" s="645" t="s">
        <v>963</v>
      </c>
      <c r="D215" s="645" t="s">
        <v>932</v>
      </c>
      <c r="E215" s="645" t="s">
        <v>932</v>
      </c>
      <c r="G215" s="645" t="s">
        <v>1073</v>
      </c>
      <c r="H215" s="2141" t="s">
        <v>963</v>
      </c>
      <c r="I215" s="2142"/>
      <c r="J215" s="645" t="s">
        <v>1074</v>
      </c>
      <c r="K215" s="645" t="s">
        <v>1074</v>
      </c>
      <c r="L215" s="645" t="s">
        <v>932</v>
      </c>
    </row>
    <row r="216" spans="1:15" s="114" customFormat="1" ht="27.6">
      <c r="A216" s="653"/>
      <c r="B216" s="653" t="s">
        <v>1075</v>
      </c>
      <c r="C216" s="664" t="s">
        <v>1076</v>
      </c>
      <c r="D216" s="637" t="s">
        <v>933</v>
      </c>
      <c r="E216" s="637" t="s">
        <v>966</v>
      </c>
      <c r="G216" s="653" t="s">
        <v>1077</v>
      </c>
      <c r="H216" s="2162" t="s">
        <v>1078</v>
      </c>
      <c r="I216" s="2163"/>
      <c r="J216" s="637" t="s">
        <v>958</v>
      </c>
      <c r="K216" s="637" t="s">
        <v>966</v>
      </c>
      <c r="L216" s="638" t="s">
        <v>937</v>
      </c>
    </row>
    <row r="217" spans="1:15" s="114" customFormat="1" ht="15" thickBot="1">
      <c r="A217" s="650"/>
      <c r="B217" s="646"/>
      <c r="C217" s="665"/>
      <c r="D217" s="647" t="s">
        <v>938</v>
      </c>
      <c r="E217" s="647" t="s">
        <v>990</v>
      </c>
      <c r="G217" s="646"/>
      <c r="H217" s="2147"/>
      <c r="I217" s="2148"/>
      <c r="J217" s="647" t="s">
        <v>938</v>
      </c>
      <c r="K217" s="647" t="s">
        <v>968</v>
      </c>
      <c r="L217" s="647" t="s">
        <v>969</v>
      </c>
      <c r="M217" s="647" t="s">
        <v>970</v>
      </c>
    </row>
    <row r="218" spans="1:15" s="114" customFormat="1" ht="13.8" thickTop="1">
      <c r="A218" s="666" t="s">
        <v>1079</v>
      </c>
      <c r="B218" s="722"/>
      <c r="C218" s="1374">
        <v>5.13</v>
      </c>
      <c r="D218" s="661">
        <f>B218*C218</f>
        <v>0</v>
      </c>
      <c r="E218" s="661">
        <f>D218/10^3</f>
        <v>0</v>
      </c>
      <c r="G218" s="724"/>
      <c r="H218" s="2164">
        <v>1</v>
      </c>
      <c r="I218" s="2165"/>
      <c r="J218" s="661">
        <f>H218*I218</f>
        <v>0</v>
      </c>
      <c r="K218" s="661">
        <f>J218/10^6</f>
        <v>0</v>
      </c>
      <c r="L218" s="671">
        <f>K218*$I$7</f>
        <v>0</v>
      </c>
      <c r="M218" s="655">
        <f>L218*1000</f>
        <v>0</v>
      </c>
    </row>
    <row r="219" spans="1:15" s="114" customFormat="1" ht="13.8" thickBot="1">
      <c r="A219" s="668" t="s">
        <v>1080</v>
      </c>
      <c r="B219" s="723"/>
      <c r="C219" s="1375">
        <v>2.83</v>
      </c>
      <c r="D219" s="661">
        <f>B219*C219</f>
        <v>0</v>
      </c>
      <c r="E219" s="661">
        <f>D219/10^3</f>
        <v>0</v>
      </c>
      <c r="G219" s="2144" t="s">
        <v>1081</v>
      </c>
      <c r="H219" s="2166"/>
      <c r="I219" s="2166"/>
      <c r="J219" s="2166"/>
      <c r="K219" s="2166"/>
    </row>
    <row r="220" spans="1:15" s="114" customFormat="1" ht="13.8" thickTop="1">
      <c r="A220" s="648" t="s">
        <v>982</v>
      </c>
      <c r="B220" s="669"/>
      <c r="C220" s="670"/>
      <c r="D220" s="655">
        <f>SUM(D218:D219)</f>
        <v>0</v>
      </c>
      <c r="E220" s="655">
        <f>SUM(E218:E219)</f>
        <v>0</v>
      </c>
    </row>
    <row r="221" spans="1:15" s="114" customFormat="1"/>
    <row r="222" spans="1:15" s="114" customFormat="1">
      <c r="A222" s="663" t="s">
        <v>975</v>
      </c>
      <c r="B222" s="663"/>
      <c r="C222" s="663"/>
      <c r="D222" s="663"/>
      <c r="E222" s="663"/>
      <c r="F222" s="663"/>
      <c r="G222" s="663"/>
      <c r="H222" s="663"/>
      <c r="I222" s="663"/>
      <c r="J222" s="663"/>
      <c r="K222" s="663"/>
      <c r="L222" s="663"/>
      <c r="M222" s="663"/>
      <c r="N222" s="663"/>
      <c r="O222" s="663"/>
    </row>
    <row r="223" spans="1:15" s="114" customFormat="1" ht="14.4">
      <c r="A223" s="658" t="s">
        <v>1082</v>
      </c>
      <c r="C223" s="641"/>
      <c r="D223" s="641"/>
      <c r="E223" s="640"/>
      <c r="G223" s="662" t="s">
        <v>1083</v>
      </c>
    </row>
    <row r="224" spans="1:15" s="114" customFormat="1">
      <c r="A224" s="643"/>
      <c r="B224" s="643"/>
      <c r="C224" s="643"/>
      <c r="D224" s="643"/>
      <c r="E224" s="643"/>
      <c r="G224" s="659"/>
      <c r="H224" s="643"/>
      <c r="I224" s="643"/>
      <c r="J224" s="643"/>
      <c r="K224" s="643"/>
      <c r="L224" s="643"/>
    </row>
    <row r="225" spans="1:15" s="114" customFormat="1">
      <c r="A225" s="644"/>
      <c r="B225" s="644" t="s">
        <v>917</v>
      </c>
      <c r="C225" s="644" t="s">
        <v>918</v>
      </c>
      <c r="D225" s="644" t="s">
        <v>919</v>
      </c>
      <c r="E225" s="644" t="s">
        <v>920</v>
      </c>
      <c r="G225" s="644"/>
      <c r="H225" s="644" t="s">
        <v>917</v>
      </c>
      <c r="I225" s="644" t="s">
        <v>918</v>
      </c>
      <c r="J225" s="644" t="s">
        <v>919</v>
      </c>
      <c r="K225" s="644" t="s">
        <v>920</v>
      </c>
      <c r="L225" s="644" t="s">
        <v>962</v>
      </c>
    </row>
    <row r="226" spans="1:15" s="114" customFormat="1" ht="26.4">
      <c r="A226" s="645" t="s">
        <v>1084</v>
      </c>
      <c r="B226" s="645" t="s">
        <v>1085</v>
      </c>
      <c r="C226" s="645" t="s">
        <v>963</v>
      </c>
      <c r="D226" s="645" t="s">
        <v>932</v>
      </c>
      <c r="E226" s="645" t="s">
        <v>932</v>
      </c>
      <c r="G226" s="645" t="s">
        <v>1086</v>
      </c>
      <c r="H226" s="645" t="s">
        <v>1007</v>
      </c>
      <c r="I226" s="645" t="s">
        <v>963</v>
      </c>
      <c r="J226" s="645" t="s">
        <v>1000</v>
      </c>
      <c r="K226" s="645" t="s">
        <v>1000</v>
      </c>
      <c r="L226" s="645" t="s">
        <v>932</v>
      </c>
    </row>
    <row r="227" spans="1:15" s="114" customFormat="1" ht="39.6">
      <c r="A227" s="653"/>
      <c r="B227" s="653" t="s">
        <v>1087</v>
      </c>
      <c r="C227" s="664" t="s">
        <v>1088</v>
      </c>
      <c r="D227" s="637" t="s">
        <v>936</v>
      </c>
      <c r="E227" s="637" t="s">
        <v>937</v>
      </c>
      <c r="G227" s="653"/>
      <c r="H227" s="653" t="s">
        <v>1089</v>
      </c>
      <c r="I227" s="664" t="s">
        <v>1090</v>
      </c>
      <c r="J227" s="637" t="s">
        <v>309</v>
      </c>
      <c r="K227" s="637" t="s">
        <v>1002</v>
      </c>
      <c r="L227" s="638" t="s">
        <v>937</v>
      </c>
    </row>
    <row r="228" spans="1:15" s="114" customFormat="1" ht="15" thickBot="1">
      <c r="A228" s="650"/>
      <c r="B228" s="646"/>
      <c r="C228" s="665"/>
      <c r="D228" s="647" t="s">
        <v>938</v>
      </c>
      <c r="E228" s="647" t="s">
        <v>990</v>
      </c>
      <c r="G228" s="650"/>
      <c r="H228" s="646"/>
      <c r="I228" s="665"/>
      <c r="J228" s="647" t="s">
        <v>938</v>
      </c>
      <c r="K228" s="647" t="s">
        <v>968</v>
      </c>
      <c r="L228" s="647" t="s">
        <v>969</v>
      </c>
      <c r="M228" s="647" t="s">
        <v>970</v>
      </c>
    </row>
    <row r="229" spans="1:15" s="114" customFormat="1" ht="13.8" thickTop="1">
      <c r="A229" s="672" t="s">
        <v>1091</v>
      </c>
      <c r="B229" s="679"/>
      <c r="C229" s="671">
        <v>1.46</v>
      </c>
      <c r="D229" s="1583">
        <f t="shared" ref="D229:D235" si="6">B229*C229</f>
        <v>0</v>
      </c>
      <c r="E229" s="661">
        <f>D229/10^3</f>
        <v>0</v>
      </c>
      <c r="G229" s="668" t="s">
        <v>1092</v>
      </c>
      <c r="H229" s="679"/>
      <c r="I229" s="1303">
        <v>7.0000000000000007E-2</v>
      </c>
      <c r="J229" s="1585">
        <f>H229*I229</f>
        <v>0</v>
      </c>
      <c r="K229" s="1578">
        <f>J229/10^6</f>
        <v>0</v>
      </c>
      <c r="L229" s="674">
        <f>K229*$G$7</f>
        <v>0</v>
      </c>
      <c r="M229" s="674">
        <f>L229*1000</f>
        <v>0</v>
      </c>
    </row>
    <row r="230" spans="1:15" s="114" customFormat="1" ht="26.4">
      <c r="A230" s="668" t="s">
        <v>1093</v>
      </c>
      <c r="B230" s="937"/>
      <c r="C230" s="1584">
        <v>0.08</v>
      </c>
      <c r="D230" s="1583">
        <f>B230*C230</f>
        <v>0</v>
      </c>
      <c r="E230" s="661">
        <f t="shared" ref="E230:E235" si="7">D230/10^3</f>
        <v>0</v>
      </c>
      <c r="G230" s="668" t="s">
        <v>1094</v>
      </c>
      <c r="H230" s="678"/>
      <c r="I230" s="1578">
        <v>1</v>
      </c>
      <c r="J230" s="1585">
        <f>H230*I230</f>
        <v>0</v>
      </c>
      <c r="K230" s="1578">
        <f>J230/10^6</f>
        <v>0</v>
      </c>
      <c r="L230" s="661">
        <f>K230*$G$7</f>
        <v>0</v>
      </c>
      <c r="M230" s="661">
        <f>L230*1000</f>
        <v>0</v>
      </c>
    </row>
    <row r="231" spans="1:15" s="114" customFormat="1" ht="13.8" thickBot="1">
      <c r="A231" s="668" t="s">
        <v>1095</v>
      </c>
      <c r="B231" s="680"/>
      <c r="C231" s="1584">
        <v>1.72</v>
      </c>
      <c r="D231" s="1583">
        <f t="shared" si="6"/>
        <v>0</v>
      </c>
      <c r="E231" s="661">
        <f t="shared" si="7"/>
        <v>0</v>
      </c>
      <c r="G231" s="673" t="s">
        <v>1096</v>
      </c>
      <c r="H231" s="681"/>
      <c r="I231" s="1586">
        <v>0.1</v>
      </c>
      <c r="J231" s="1585">
        <f>H231*I231</f>
        <v>0</v>
      </c>
      <c r="K231" s="1578">
        <f>J231/10^6</f>
        <v>0</v>
      </c>
      <c r="L231" s="675">
        <f>K231*$G$7</f>
        <v>0</v>
      </c>
      <c r="M231" s="675">
        <f>L231*1000</f>
        <v>0</v>
      </c>
    </row>
    <row r="232" spans="1:15" s="114" customFormat="1" ht="13.8" thickTop="1">
      <c r="A232" s="668" t="s">
        <v>1097</v>
      </c>
      <c r="B232" s="680"/>
      <c r="C232" s="1584">
        <v>1.35</v>
      </c>
      <c r="D232" s="1583">
        <f t="shared" si="6"/>
        <v>0</v>
      </c>
      <c r="E232" s="661">
        <f>D232/10^3</f>
        <v>0</v>
      </c>
      <c r="G232" s="648" t="s">
        <v>1098</v>
      </c>
      <c r="H232" s="669"/>
      <c r="I232" s="670"/>
      <c r="J232" s="654"/>
      <c r="K232" s="655"/>
      <c r="L232" s="655">
        <f>SUM(L229:L231)</f>
        <v>0</v>
      </c>
      <c r="M232" s="655">
        <f>SUM(M229:M231)</f>
        <v>0</v>
      </c>
    </row>
    <row r="233" spans="1:15" s="114" customFormat="1">
      <c r="A233" s="668" t="s">
        <v>1094</v>
      </c>
      <c r="B233" s="678"/>
      <c r="C233" s="661">
        <v>0.7</v>
      </c>
      <c r="D233" s="1583">
        <f t="shared" si="6"/>
        <v>0</v>
      </c>
      <c r="E233" s="661">
        <f t="shared" si="7"/>
        <v>0</v>
      </c>
    </row>
    <row r="234" spans="1:15" s="114" customFormat="1">
      <c r="A234" s="668" t="s">
        <v>1092</v>
      </c>
      <c r="B234" s="678"/>
      <c r="C234" s="661">
        <v>0.2</v>
      </c>
      <c r="D234" s="1583">
        <f t="shared" si="6"/>
        <v>0</v>
      </c>
      <c r="E234" s="661">
        <f t="shared" si="7"/>
        <v>0</v>
      </c>
    </row>
    <row r="235" spans="1:15" s="114" customFormat="1" ht="13.8" thickBot="1">
      <c r="A235" s="673" t="s">
        <v>1099</v>
      </c>
      <c r="B235" s="681"/>
      <c r="C235" s="675">
        <v>0.03</v>
      </c>
      <c r="D235" s="1583">
        <f t="shared" si="6"/>
        <v>0</v>
      </c>
      <c r="E235" s="661">
        <f t="shared" si="7"/>
        <v>0</v>
      </c>
    </row>
    <row r="236" spans="1:15" s="114" customFormat="1" ht="13.8" thickTop="1">
      <c r="A236" s="648" t="s">
        <v>1098</v>
      </c>
      <c r="B236" s="669"/>
      <c r="C236" s="670"/>
      <c r="D236" s="1660">
        <f>SUM(D229:D235)</f>
        <v>0</v>
      </c>
      <c r="E236" s="1660">
        <f>D236/10^3</f>
        <v>0</v>
      </c>
    </row>
    <row r="237" spans="1:15" s="114" customFormat="1"/>
    <row r="238" spans="1:15" s="114" customFormat="1">
      <c r="A238" s="663" t="s">
        <v>1100</v>
      </c>
      <c r="B238" s="663"/>
      <c r="C238" s="663"/>
      <c r="D238" s="663"/>
      <c r="E238" s="663"/>
      <c r="F238" s="663"/>
      <c r="G238" s="663"/>
      <c r="H238" s="663"/>
      <c r="I238" s="663"/>
      <c r="J238" s="663"/>
      <c r="K238" s="663"/>
      <c r="L238" s="663"/>
      <c r="M238" s="663"/>
      <c r="N238" s="663"/>
      <c r="O238" s="663"/>
    </row>
    <row r="239" spans="1:15" s="114" customFormat="1" ht="14.4">
      <c r="A239" s="662" t="s">
        <v>1082</v>
      </c>
      <c r="B239" s="662"/>
      <c r="C239" s="662"/>
      <c r="D239" s="662"/>
      <c r="E239" s="662"/>
      <c r="G239" s="662" t="s">
        <v>1083</v>
      </c>
      <c r="H239" s="662"/>
      <c r="I239" s="662"/>
      <c r="J239" s="662"/>
      <c r="K239" s="662"/>
    </row>
    <row r="240" spans="1:15" s="114" customFormat="1">
      <c r="A240" s="643"/>
      <c r="B240" s="643"/>
      <c r="C240" s="643"/>
      <c r="D240" s="643"/>
      <c r="E240" s="643"/>
      <c r="G240" s="643"/>
      <c r="H240" s="643"/>
      <c r="I240" s="643"/>
      <c r="J240" s="643"/>
      <c r="K240" s="643"/>
      <c r="L240" s="643"/>
    </row>
    <row r="241" spans="1:15" s="114" customFormat="1">
      <c r="A241" s="644"/>
      <c r="B241" s="644" t="s">
        <v>917</v>
      </c>
      <c r="C241" s="644" t="s">
        <v>918</v>
      </c>
      <c r="D241" s="644" t="s">
        <v>919</v>
      </c>
      <c r="E241" s="644" t="s">
        <v>920</v>
      </c>
      <c r="G241" s="644"/>
      <c r="H241" s="644" t="s">
        <v>917</v>
      </c>
      <c r="I241" s="644" t="s">
        <v>918</v>
      </c>
      <c r="J241" s="644" t="s">
        <v>919</v>
      </c>
      <c r="K241" s="644" t="s">
        <v>920</v>
      </c>
      <c r="L241" s="644" t="s">
        <v>962</v>
      </c>
    </row>
    <row r="242" spans="1:15" s="114" customFormat="1" ht="26.4">
      <c r="A242" s="645" t="s">
        <v>1101</v>
      </c>
      <c r="B242" s="645" t="s">
        <v>1102</v>
      </c>
      <c r="C242" s="645" t="s">
        <v>963</v>
      </c>
      <c r="D242" s="645" t="s">
        <v>932</v>
      </c>
      <c r="E242" s="645" t="s">
        <v>932</v>
      </c>
      <c r="G242" s="645" t="s">
        <v>1101</v>
      </c>
      <c r="H242" s="645" t="s">
        <v>1102</v>
      </c>
      <c r="I242" s="645" t="s">
        <v>963</v>
      </c>
      <c r="J242" s="645" t="s">
        <v>1000</v>
      </c>
      <c r="K242" s="645" t="s">
        <v>1000</v>
      </c>
      <c r="L242" s="645" t="s">
        <v>932</v>
      </c>
    </row>
    <row r="243" spans="1:15" s="114" customFormat="1" ht="27.6">
      <c r="A243" s="653" t="s">
        <v>1103</v>
      </c>
      <c r="B243" s="653" t="s">
        <v>1104</v>
      </c>
      <c r="C243" s="664" t="s">
        <v>1105</v>
      </c>
      <c r="D243" s="637" t="s">
        <v>936</v>
      </c>
      <c r="E243" s="637" t="s">
        <v>937</v>
      </c>
      <c r="G243" s="653" t="s">
        <v>1103</v>
      </c>
      <c r="H243" s="653" t="s">
        <v>1104</v>
      </c>
      <c r="I243" s="664" t="s">
        <v>1106</v>
      </c>
      <c r="J243" s="637" t="s">
        <v>309</v>
      </c>
      <c r="K243" s="637" t="s">
        <v>1002</v>
      </c>
      <c r="L243" s="638" t="s">
        <v>937</v>
      </c>
    </row>
    <row r="244" spans="1:15" s="114" customFormat="1" ht="15" thickBot="1">
      <c r="A244" s="650"/>
      <c r="B244" s="646"/>
      <c r="C244" s="665"/>
      <c r="D244" s="647" t="s">
        <v>938</v>
      </c>
      <c r="E244" s="647" t="s">
        <v>990</v>
      </c>
      <c r="G244" s="650"/>
      <c r="H244" s="646"/>
      <c r="I244" s="665"/>
      <c r="J244" s="647" t="s">
        <v>938</v>
      </c>
      <c r="K244" s="647" t="s">
        <v>968</v>
      </c>
      <c r="L244" s="647" t="s">
        <v>969</v>
      </c>
      <c r="M244" s="647" t="s">
        <v>970</v>
      </c>
    </row>
    <row r="245" spans="1:15" s="114" customFormat="1" ht="13.8" thickTop="1">
      <c r="A245" s="672"/>
      <c r="B245" s="722"/>
      <c r="C245" s="667">
        <v>3.6</v>
      </c>
      <c r="D245" s="1665">
        <f>B245*C245</f>
        <v>0</v>
      </c>
      <c r="E245" s="660">
        <f>D245/10^3</f>
        <v>0</v>
      </c>
      <c r="G245" s="672"/>
      <c r="H245" s="725"/>
      <c r="I245" s="1376">
        <v>1</v>
      </c>
      <c r="J245" s="1367">
        <f>H245*I245</f>
        <v>0</v>
      </c>
      <c r="K245" s="660">
        <f>J245/10^6</f>
        <v>0</v>
      </c>
      <c r="L245" s="671">
        <f>K245*$G$7</f>
        <v>0</v>
      </c>
      <c r="M245" s="671">
        <f>L245*1000</f>
        <v>0</v>
      </c>
    </row>
    <row r="246" spans="1:15" s="114" customFormat="1" ht="12.75" customHeight="1">
      <c r="A246" s="2153" t="s">
        <v>1107</v>
      </c>
      <c r="B246" s="2154"/>
      <c r="C246" s="2154"/>
      <c r="D246" s="2154"/>
      <c r="E246" s="2155"/>
      <c r="G246" s="2144" t="s">
        <v>1108</v>
      </c>
      <c r="H246" s="2144"/>
      <c r="I246" s="2144"/>
      <c r="J246" s="2144"/>
      <c r="K246" s="2144"/>
    </row>
    <row r="247" spans="1:15" s="114" customFormat="1"/>
    <row r="248" spans="1:15" s="114" customFormat="1">
      <c r="A248" s="663" t="s">
        <v>1109</v>
      </c>
      <c r="B248" s="663"/>
      <c r="C248" s="663"/>
      <c r="D248" s="663"/>
      <c r="E248" s="663"/>
      <c r="F248" s="663"/>
      <c r="G248" s="663"/>
      <c r="H248" s="663"/>
      <c r="I248" s="663"/>
      <c r="J248" s="663"/>
      <c r="K248" s="663"/>
      <c r="L248" s="663"/>
      <c r="M248" s="663"/>
      <c r="N248" s="663"/>
      <c r="O248" s="663"/>
    </row>
    <row r="249" spans="1:15" s="114" customFormat="1" ht="14.4">
      <c r="A249" s="662" t="s">
        <v>1082</v>
      </c>
      <c r="B249" s="662"/>
      <c r="C249" s="662"/>
      <c r="D249" s="662"/>
      <c r="E249" s="662"/>
    </row>
    <row r="250" spans="1:15" s="114" customFormat="1">
      <c r="A250" s="643"/>
      <c r="B250" s="643"/>
      <c r="C250" s="643"/>
      <c r="D250" s="643"/>
      <c r="E250" s="643"/>
    </row>
    <row r="251" spans="1:15" s="114" customFormat="1">
      <c r="A251" s="644"/>
      <c r="B251" s="644" t="s">
        <v>917</v>
      </c>
      <c r="C251" s="644" t="s">
        <v>918</v>
      </c>
      <c r="D251" s="644" t="s">
        <v>919</v>
      </c>
      <c r="E251" s="644" t="s">
        <v>920</v>
      </c>
    </row>
    <row r="252" spans="1:15" s="114" customFormat="1" ht="26.4">
      <c r="A252" s="645" t="s">
        <v>1110</v>
      </c>
      <c r="B252" s="645" t="s">
        <v>1111</v>
      </c>
      <c r="C252" s="645" t="s">
        <v>963</v>
      </c>
      <c r="D252" s="645" t="s">
        <v>932</v>
      </c>
      <c r="E252" s="645" t="s">
        <v>932</v>
      </c>
    </row>
    <row r="253" spans="1:15" s="114" customFormat="1" ht="27.6">
      <c r="A253" s="653"/>
      <c r="B253" s="653" t="s">
        <v>1112</v>
      </c>
      <c r="C253" s="664" t="s">
        <v>1113</v>
      </c>
      <c r="D253" s="637" t="s">
        <v>933</v>
      </c>
      <c r="E253" s="637" t="s">
        <v>966</v>
      </c>
    </row>
    <row r="254" spans="1:15" s="114" customFormat="1" ht="15" thickBot="1">
      <c r="A254" s="650"/>
      <c r="B254" s="646"/>
      <c r="C254" s="665"/>
      <c r="D254" s="647" t="s">
        <v>938</v>
      </c>
      <c r="E254" s="647" t="s">
        <v>990</v>
      </c>
    </row>
    <row r="255" spans="1:15" s="114" customFormat="1" ht="14.4" thickTop="1" thickBot="1">
      <c r="A255" s="672" t="s">
        <v>2310</v>
      </c>
      <c r="B255" s="722"/>
      <c r="C255" s="1374">
        <v>1.6</v>
      </c>
      <c r="D255" s="1367">
        <f>B255*C255</f>
        <v>0</v>
      </c>
      <c r="E255" s="660">
        <f>D255/10^3</f>
        <v>0</v>
      </c>
    </row>
    <row r="256" spans="1:15" s="114" customFormat="1" ht="14.4" thickTop="1" thickBot="1">
      <c r="A256" s="668" t="s">
        <v>1114</v>
      </c>
      <c r="B256" s="726"/>
      <c r="C256" s="1374">
        <v>1.7</v>
      </c>
      <c r="D256" s="1367">
        <f>B256*C256</f>
        <v>0</v>
      </c>
      <c r="E256" s="660">
        <f>D256/10^3</f>
        <v>0</v>
      </c>
    </row>
    <row r="257" spans="1:15" s="114" customFormat="1" ht="13.8" thickTop="1">
      <c r="A257" s="648" t="s">
        <v>982</v>
      </c>
      <c r="B257" s="669"/>
      <c r="C257" s="670"/>
      <c r="D257" s="1660">
        <f>SUM(D255:D256)</f>
        <v>0</v>
      </c>
      <c r="E257" s="1660">
        <f>SUM(E255:E256)</f>
        <v>0</v>
      </c>
    </row>
    <row r="258" spans="1:15" s="114" customFormat="1"/>
    <row r="259" spans="1:15" s="114" customFormat="1" ht="14.4">
      <c r="A259" s="662" t="s">
        <v>1115</v>
      </c>
      <c r="B259" s="662"/>
      <c r="C259" s="662"/>
      <c r="D259" s="662"/>
      <c r="E259" s="662"/>
      <c r="I259" s="662" t="s">
        <v>1116</v>
      </c>
      <c r="J259" s="662"/>
      <c r="K259" s="662"/>
      <c r="L259" s="662"/>
      <c r="M259" s="662"/>
    </row>
    <row r="260" spans="1:15" s="114" customFormat="1">
      <c r="A260" s="643"/>
      <c r="B260" s="643"/>
      <c r="C260" s="643"/>
      <c r="D260" s="643"/>
      <c r="E260" s="643"/>
      <c r="F260" s="643"/>
      <c r="I260" s="643"/>
      <c r="J260" s="643"/>
      <c r="K260" s="643"/>
      <c r="L260" s="643"/>
      <c r="M260" s="643"/>
      <c r="N260" s="643"/>
    </row>
    <row r="261" spans="1:15" s="114" customFormat="1">
      <c r="A261" s="644"/>
      <c r="B261" s="644" t="s">
        <v>917</v>
      </c>
      <c r="C261" s="644" t="s">
        <v>918</v>
      </c>
      <c r="D261" s="644" t="s">
        <v>919</v>
      </c>
      <c r="E261" s="644" t="s">
        <v>920</v>
      </c>
      <c r="F261" s="644" t="s">
        <v>962</v>
      </c>
      <c r="I261" s="644"/>
      <c r="J261" s="644" t="s">
        <v>917</v>
      </c>
      <c r="K261" s="644" t="s">
        <v>918</v>
      </c>
      <c r="L261" s="644" t="s">
        <v>919</v>
      </c>
      <c r="M261" s="644" t="s">
        <v>920</v>
      </c>
      <c r="N261" s="644" t="s">
        <v>962</v>
      </c>
    </row>
    <row r="262" spans="1:15" s="114" customFormat="1" ht="26.4">
      <c r="A262" s="645" t="s">
        <v>1110</v>
      </c>
      <c r="B262" s="645" t="s">
        <v>1111</v>
      </c>
      <c r="C262" s="645" t="s">
        <v>963</v>
      </c>
      <c r="D262" s="645" t="s">
        <v>1117</v>
      </c>
      <c r="E262" s="645" t="s">
        <v>1117</v>
      </c>
      <c r="F262" s="645" t="s">
        <v>932</v>
      </c>
      <c r="I262" s="645" t="s">
        <v>1110</v>
      </c>
      <c r="J262" s="645" t="s">
        <v>1111</v>
      </c>
      <c r="K262" s="645" t="s">
        <v>963</v>
      </c>
      <c r="L262" s="645" t="s">
        <v>1118</v>
      </c>
      <c r="M262" s="645" t="s">
        <v>1118</v>
      </c>
      <c r="N262" s="645" t="s">
        <v>932</v>
      </c>
    </row>
    <row r="263" spans="1:15" s="114" customFormat="1" ht="27.6">
      <c r="A263" s="653"/>
      <c r="B263" s="653" t="s">
        <v>1112</v>
      </c>
      <c r="C263" s="664" t="s">
        <v>1119</v>
      </c>
      <c r="D263" s="637" t="s">
        <v>958</v>
      </c>
      <c r="E263" s="637" t="s">
        <v>966</v>
      </c>
      <c r="F263" s="638" t="s">
        <v>937</v>
      </c>
      <c r="I263" s="653"/>
      <c r="J263" s="653" t="s">
        <v>1112</v>
      </c>
      <c r="K263" s="664" t="s">
        <v>1120</v>
      </c>
      <c r="L263" s="637" t="s">
        <v>958</v>
      </c>
      <c r="M263" s="637" t="s">
        <v>966</v>
      </c>
      <c r="N263" s="638" t="s">
        <v>937</v>
      </c>
    </row>
    <row r="264" spans="1:15" s="114" customFormat="1" ht="15" thickBot="1">
      <c r="A264" s="650"/>
      <c r="B264" s="646"/>
      <c r="C264" s="665"/>
      <c r="D264" s="647" t="s">
        <v>938</v>
      </c>
      <c r="E264" s="647" t="s">
        <v>968</v>
      </c>
      <c r="F264" s="647" t="s">
        <v>969</v>
      </c>
      <c r="G264" s="647" t="s">
        <v>970</v>
      </c>
      <c r="I264" s="650"/>
      <c r="J264" s="646"/>
      <c r="K264" s="665"/>
      <c r="L264" s="647" t="s">
        <v>938</v>
      </c>
      <c r="M264" s="647" t="s">
        <v>968</v>
      </c>
      <c r="N264" s="647" t="s">
        <v>969</v>
      </c>
      <c r="O264" s="647" t="s">
        <v>970</v>
      </c>
    </row>
    <row r="265" spans="1:15" s="114" customFormat="1" ht="14.4" thickTop="1" thickBot="1">
      <c r="A265" s="666" t="s">
        <v>1121</v>
      </c>
      <c r="B265" s="722"/>
      <c r="C265" s="1374">
        <v>0.4</v>
      </c>
      <c r="D265" s="1367">
        <f>B265*C265</f>
        <v>0</v>
      </c>
      <c r="E265" s="660">
        <f>D265/10^6</f>
        <v>0</v>
      </c>
      <c r="F265" s="671">
        <f>E265*GPC!$F$89</f>
        <v>0</v>
      </c>
      <c r="G265" s="655">
        <f>F265*1000</f>
        <v>0</v>
      </c>
      <c r="I265" s="666" t="s">
        <v>1121</v>
      </c>
      <c r="J265" s="722"/>
      <c r="K265" s="1374">
        <v>0.04</v>
      </c>
      <c r="L265" s="1367">
        <f>J265*K265</f>
        <v>0</v>
      </c>
      <c r="M265" s="660">
        <f>L265/10^6</f>
        <v>0</v>
      </c>
      <c r="N265" s="671">
        <f>M265*$J$7</f>
        <v>0</v>
      </c>
      <c r="O265" s="671">
        <f>N265*1000</f>
        <v>0</v>
      </c>
    </row>
    <row r="266" spans="1:15" s="114" customFormat="1" ht="14.4" thickTop="1" thickBot="1">
      <c r="A266" s="668" t="s">
        <v>1122</v>
      </c>
      <c r="B266" s="723"/>
      <c r="C266" s="1375">
        <v>1.6</v>
      </c>
      <c r="D266" s="1367">
        <f>B266*C266</f>
        <v>0</v>
      </c>
      <c r="E266" s="660">
        <f>D266/10^6</f>
        <v>0</v>
      </c>
      <c r="F266" s="671">
        <f>E266*GPC!$F$89</f>
        <v>0</v>
      </c>
      <c r="G266" s="655">
        <f>F266*1000</f>
        <v>0</v>
      </c>
      <c r="I266" s="668" t="s">
        <v>1122</v>
      </c>
      <c r="J266" s="723"/>
      <c r="K266" s="1375">
        <v>0.4</v>
      </c>
      <c r="L266" s="1367">
        <f>J266*K266</f>
        <v>0</v>
      </c>
      <c r="M266" s="660">
        <f t="shared" ref="M266:M267" si="8">L266/10^6</f>
        <v>0</v>
      </c>
      <c r="N266" s="661">
        <f>M266*$J$7</f>
        <v>0</v>
      </c>
      <c r="O266" s="661">
        <f>N266*1000</f>
        <v>0</v>
      </c>
    </row>
    <row r="267" spans="1:15" s="114" customFormat="1" ht="14.4" thickTop="1" thickBot="1">
      <c r="A267" s="668" t="s">
        <v>1123</v>
      </c>
      <c r="B267" s="723"/>
      <c r="C267" s="1375">
        <v>0.8</v>
      </c>
      <c r="D267" s="1367">
        <f>B267*C267</f>
        <v>0</v>
      </c>
      <c r="E267" s="660">
        <f>D267/10^6</f>
        <v>0</v>
      </c>
      <c r="F267" s="671">
        <f>E267*GPC!$F$89</f>
        <v>0</v>
      </c>
      <c r="G267" s="655">
        <f>F267*1000</f>
        <v>0</v>
      </c>
      <c r="I267" s="668" t="s">
        <v>1123</v>
      </c>
      <c r="J267" s="723"/>
      <c r="K267" s="1375">
        <v>0.04</v>
      </c>
      <c r="L267" s="1367">
        <f>J267*K267</f>
        <v>0</v>
      </c>
      <c r="M267" s="660">
        <f t="shared" si="8"/>
        <v>0</v>
      </c>
      <c r="N267" s="661">
        <f>M267*$J$7</f>
        <v>0</v>
      </c>
      <c r="O267" s="661">
        <f>N267*1000</f>
        <v>0</v>
      </c>
    </row>
    <row r="268" spans="1:15" s="114" customFormat="1" ht="14.4" thickTop="1" thickBot="1">
      <c r="A268" s="668" t="s">
        <v>1124</v>
      </c>
      <c r="B268" s="726"/>
      <c r="C268" s="1377">
        <v>0.4</v>
      </c>
      <c r="D268" s="1367">
        <f>B268*C268</f>
        <v>0</v>
      </c>
      <c r="E268" s="660">
        <f>D268/10^6</f>
        <v>0</v>
      </c>
      <c r="F268" s="671">
        <f>E268*GPC!$F$89</f>
        <v>0</v>
      </c>
      <c r="G268" s="655">
        <f>F268*1000</f>
        <v>0</v>
      </c>
      <c r="I268" s="668" t="s">
        <v>1124</v>
      </c>
      <c r="J268" s="726"/>
      <c r="K268" s="1377">
        <v>0.03</v>
      </c>
      <c r="L268" s="1367">
        <f>J268*K268</f>
        <v>0</v>
      </c>
      <c r="M268" s="660">
        <f>L268/10^6</f>
        <v>0</v>
      </c>
      <c r="N268" s="661">
        <f>M268*$J$7</f>
        <v>0</v>
      </c>
      <c r="O268" s="661">
        <f>N268*1000</f>
        <v>0</v>
      </c>
    </row>
    <row r="269" spans="1:15" s="114" customFormat="1" ht="13.8" thickTop="1">
      <c r="A269" s="648" t="s">
        <v>982</v>
      </c>
      <c r="B269" s="669"/>
      <c r="C269" s="670"/>
      <c r="D269" s="654"/>
      <c r="E269" s="655"/>
      <c r="F269" s="655">
        <f>SUM(F265:F268)</f>
        <v>0</v>
      </c>
      <c r="G269" s="655">
        <f>SUM(G265:G268)</f>
        <v>0</v>
      </c>
      <c r="I269" s="648" t="s">
        <v>982</v>
      </c>
      <c r="J269" s="669"/>
      <c r="K269" s="670"/>
      <c r="L269" s="654"/>
      <c r="M269" s="655"/>
      <c r="N269" s="655">
        <f>SUM(N265:N268)</f>
        <v>0</v>
      </c>
      <c r="O269" s="655">
        <f>SUM(O265:O268)</f>
        <v>0</v>
      </c>
    </row>
    <row r="270" spans="1:15" s="114" customFormat="1"/>
    <row r="271" spans="1:15" s="114" customFormat="1">
      <c r="A271" s="663" t="s">
        <v>1125</v>
      </c>
      <c r="B271" s="663"/>
      <c r="C271" s="663"/>
      <c r="D271" s="663"/>
      <c r="E271" s="663"/>
      <c r="F271" s="663"/>
      <c r="G271" s="663"/>
      <c r="H271" s="663"/>
      <c r="I271" s="663"/>
      <c r="J271" s="663"/>
      <c r="K271" s="663"/>
      <c r="L271" s="663"/>
      <c r="M271" s="663"/>
      <c r="N271" s="663"/>
      <c r="O271" s="663"/>
    </row>
    <row r="272" spans="1:15" s="114" customFormat="1">
      <c r="A272" s="643"/>
      <c r="B272" s="643"/>
      <c r="C272" s="643"/>
      <c r="D272" s="643"/>
      <c r="E272" s="643"/>
    </row>
    <row r="273" spans="1:15" s="114" customFormat="1">
      <c r="A273" s="644"/>
      <c r="B273" s="644" t="s">
        <v>917</v>
      </c>
      <c r="C273" s="644" t="s">
        <v>918</v>
      </c>
      <c r="D273" s="644" t="s">
        <v>919</v>
      </c>
      <c r="E273" s="644" t="s">
        <v>920</v>
      </c>
      <c r="F273" s="662"/>
    </row>
    <row r="274" spans="1:15" s="114" customFormat="1" ht="26.4">
      <c r="A274" s="645" t="s">
        <v>1126</v>
      </c>
      <c r="B274" s="645" t="s">
        <v>1127</v>
      </c>
      <c r="C274" s="645" t="s">
        <v>963</v>
      </c>
      <c r="D274" s="645" t="s">
        <v>932</v>
      </c>
      <c r="E274" s="645" t="s">
        <v>932</v>
      </c>
    </row>
    <row r="275" spans="1:15" s="114" customFormat="1" ht="27.6">
      <c r="A275" s="653" t="s">
        <v>1103</v>
      </c>
      <c r="B275" s="653" t="s">
        <v>1128</v>
      </c>
      <c r="C275" s="664" t="s">
        <v>1129</v>
      </c>
      <c r="D275" s="637" t="s">
        <v>933</v>
      </c>
      <c r="E275" s="637" t="s">
        <v>966</v>
      </c>
    </row>
    <row r="276" spans="1:15" s="114" customFormat="1" ht="14.4">
      <c r="A276" s="1363"/>
      <c r="B276" s="732"/>
      <c r="C276" s="1364"/>
      <c r="D276" s="644" t="s">
        <v>938</v>
      </c>
      <c r="E276" s="644" t="s">
        <v>990</v>
      </c>
    </row>
    <row r="277" spans="1:15" s="114" customFormat="1">
      <c r="A277" s="668" t="s">
        <v>2295</v>
      </c>
      <c r="B277" s="723"/>
      <c r="C277" s="1375">
        <v>0.25</v>
      </c>
      <c r="D277" s="1665">
        <f>B277*C277</f>
        <v>0</v>
      </c>
      <c r="E277" s="660">
        <f>D277/10^3</f>
        <v>0</v>
      </c>
    </row>
    <row r="278" spans="1:15" s="114" customFormat="1">
      <c r="A278" s="668" t="s">
        <v>2296</v>
      </c>
      <c r="B278" s="723"/>
      <c r="C278" s="1375">
        <v>0.59</v>
      </c>
      <c r="D278" s="1665">
        <f>B278*C278</f>
        <v>0</v>
      </c>
      <c r="E278" s="660">
        <f>D278/10^3</f>
        <v>0</v>
      </c>
    </row>
    <row r="279" spans="1:15" s="114" customFormat="1" ht="13.35" customHeight="1">
      <c r="A279" s="1305" t="s">
        <v>1130</v>
      </c>
      <c r="B279" s="1305"/>
      <c r="C279" s="1305"/>
      <c r="D279" s="1305"/>
      <c r="E279" s="1305"/>
    </row>
    <row r="281" spans="1:15" s="114" customFormat="1">
      <c r="A281" s="663" t="s">
        <v>2311</v>
      </c>
      <c r="B281" s="663"/>
      <c r="C281" s="663"/>
      <c r="D281" s="663"/>
      <c r="E281" s="663"/>
      <c r="F281" s="663"/>
      <c r="G281" s="663"/>
      <c r="H281" s="663"/>
      <c r="I281" s="663"/>
      <c r="J281" s="663"/>
      <c r="K281" s="663"/>
      <c r="L281" s="663"/>
      <c r="M281" s="663"/>
      <c r="N281" s="663"/>
      <c r="O281" s="663"/>
    </row>
    <row r="282" spans="1:15" s="114" customFormat="1">
      <c r="A282" s="643"/>
      <c r="B282" s="643"/>
      <c r="C282" s="643"/>
      <c r="D282" s="643"/>
      <c r="E282" s="643"/>
    </row>
    <row r="283" spans="1:15" s="114" customFormat="1">
      <c r="A283" s="644"/>
      <c r="B283" s="644" t="s">
        <v>917</v>
      </c>
      <c r="C283" s="644" t="s">
        <v>918</v>
      </c>
      <c r="D283" s="644" t="s">
        <v>919</v>
      </c>
      <c r="E283" s="644" t="s">
        <v>920</v>
      </c>
    </row>
    <row r="284" spans="1:15" s="114" customFormat="1" ht="26.4">
      <c r="A284" s="645" t="s">
        <v>1131</v>
      </c>
      <c r="B284" s="645" t="s">
        <v>1132</v>
      </c>
      <c r="C284" s="645" t="s">
        <v>963</v>
      </c>
      <c r="D284" s="645" t="s">
        <v>932</v>
      </c>
      <c r="E284" s="645" t="s">
        <v>932</v>
      </c>
    </row>
    <row r="285" spans="1:15" s="114" customFormat="1" ht="27.6">
      <c r="A285" s="653" t="s">
        <v>1103</v>
      </c>
      <c r="B285" s="653" t="s">
        <v>1133</v>
      </c>
      <c r="C285" s="664" t="s">
        <v>1134</v>
      </c>
      <c r="D285" s="637" t="s">
        <v>933</v>
      </c>
      <c r="E285" s="637" t="s">
        <v>966</v>
      </c>
    </row>
    <row r="286" spans="1:15" s="114" customFormat="1" ht="15" thickBot="1">
      <c r="A286" s="650"/>
      <c r="B286" s="646"/>
      <c r="C286" s="665"/>
      <c r="D286" s="647" t="s">
        <v>938</v>
      </c>
      <c r="E286" s="647" t="s">
        <v>990</v>
      </c>
    </row>
    <row r="287" spans="1:15" s="114" customFormat="1" ht="13.8" thickTop="1">
      <c r="A287" s="666"/>
      <c r="B287" s="722"/>
      <c r="C287" s="1374">
        <v>1.72</v>
      </c>
      <c r="D287" s="1665">
        <f>B287*C287</f>
        <v>0</v>
      </c>
      <c r="E287" s="660">
        <f>D287/10^3</f>
        <v>0</v>
      </c>
    </row>
    <row r="288" spans="1:15" s="114" customFormat="1">
      <c r="A288" s="1305" t="s">
        <v>1135</v>
      </c>
      <c r="B288" s="1305"/>
      <c r="C288" s="1305"/>
      <c r="D288" s="1305"/>
      <c r="E288" s="1305"/>
    </row>
    <row r="289" spans="6:6">
      <c r="F289" s="114"/>
    </row>
  </sheetData>
  <mergeCells count="75">
    <mergeCell ref="A58:K58"/>
    <mergeCell ref="A39:K39"/>
    <mergeCell ref="A43:B43"/>
    <mergeCell ref="A45:K45"/>
    <mergeCell ref="A47:K47"/>
    <mergeCell ref="A49:K49"/>
    <mergeCell ref="A53:K53"/>
    <mergeCell ref="A55:K55"/>
    <mergeCell ref="A44:K44"/>
    <mergeCell ref="A52:K52"/>
    <mergeCell ref="A41:A42"/>
    <mergeCell ref="L174:M174"/>
    <mergeCell ref="J170:K170"/>
    <mergeCell ref="L169:M169"/>
    <mergeCell ref="G209:K209"/>
    <mergeCell ref="A209:E209"/>
    <mergeCell ref="G187:K187"/>
    <mergeCell ref="A198:E198"/>
    <mergeCell ref="A187:E187"/>
    <mergeCell ref="G198:K198"/>
    <mergeCell ref="B170:C170"/>
    <mergeCell ref="B172:C172"/>
    <mergeCell ref="J169:K169"/>
    <mergeCell ref="B169:C169"/>
    <mergeCell ref="D169:E169"/>
    <mergeCell ref="D170:E170"/>
    <mergeCell ref="L173:M173"/>
    <mergeCell ref="J174:K174"/>
    <mergeCell ref="D171:E171"/>
    <mergeCell ref="A27:E27"/>
    <mergeCell ref="A97:E97"/>
    <mergeCell ref="A135:E135"/>
    <mergeCell ref="A137:E137"/>
    <mergeCell ref="A154:E154"/>
    <mergeCell ref="A126:D126"/>
    <mergeCell ref="A139:E139"/>
    <mergeCell ref="A141:E141"/>
    <mergeCell ref="A143:E143"/>
    <mergeCell ref="A145:E145"/>
    <mergeCell ref="A147:E147"/>
    <mergeCell ref="A151:E151"/>
    <mergeCell ref="A40:B40"/>
    <mergeCell ref="A38:K38"/>
    <mergeCell ref="A246:E246"/>
    <mergeCell ref="H134:I134"/>
    <mergeCell ref="H135:I135"/>
    <mergeCell ref="H131:I131"/>
    <mergeCell ref="H132:I132"/>
    <mergeCell ref="H133:I133"/>
    <mergeCell ref="H214:I214"/>
    <mergeCell ref="H215:I215"/>
    <mergeCell ref="H216:I216"/>
    <mergeCell ref="H217:I217"/>
    <mergeCell ref="H218:I218"/>
    <mergeCell ref="G219:K219"/>
    <mergeCell ref="G246:K246"/>
    <mergeCell ref="A165:F165"/>
    <mergeCell ref="I165:M165"/>
    <mergeCell ref="B171:C171"/>
    <mergeCell ref="L170:M170"/>
    <mergeCell ref="J171:K171"/>
    <mergeCell ref="L171:M171"/>
    <mergeCell ref="A176:G176"/>
    <mergeCell ref="J172:K172"/>
    <mergeCell ref="L172:M172"/>
    <mergeCell ref="J173:K173"/>
    <mergeCell ref="I176:O176"/>
    <mergeCell ref="D172:E172"/>
    <mergeCell ref="B173:C173"/>
    <mergeCell ref="B174:C174"/>
    <mergeCell ref="B175:C175"/>
    <mergeCell ref="D173:E173"/>
    <mergeCell ref="D175:E175"/>
    <mergeCell ref="L175:M175"/>
    <mergeCell ref="J175:K175"/>
  </mergeCells>
  <printOptions horizontalCentered="1"/>
  <pageMargins left="0" right="0" top="0" bottom="0" header="0" footer="0"/>
  <pageSetup paperSize="9" scale="8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499984740745262"/>
  </sheetPr>
  <dimension ref="A1:N23"/>
  <sheetViews>
    <sheetView zoomScale="115" zoomScaleNormal="115" workbookViewId="0">
      <selection activeCell="H30" sqref="H30"/>
    </sheetView>
  </sheetViews>
  <sheetFormatPr defaultColWidth="9.33203125" defaultRowHeight="13.2"/>
  <cols>
    <col min="1" max="1" width="38.44140625" style="99" customWidth="1"/>
    <col min="2" max="3" width="20.44140625" style="99" customWidth="1"/>
    <col min="4" max="4" width="25.44140625" style="99" customWidth="1"/>
    <col min="5" max="7" width="20.44140625" style="99" customWidth="1"/>
    <col min="8" max="8" width="25.44140625" style="99" customWidth="1"/>
    <col min="9" max="10" width="20.44140625" style="99" customWidth="1"/>
    <col min="11" max="14" width="10.44140625" style="99" customWidth="1"/>
    <col min="15" max="16384" width="9.33203125" style="99"/>
  </cols>
  <sheetData>
    <row r="1" spans="1:14" s="205" customFormat="1">
      <c r="A1" s="122" t="s">
        <v>915</v>
      </c>
      <c r="B1" s="122"/>
      <c r="C1" s="122"/>
      <c r="D1" s="122"/>
      <c r="E1" s="122"/>
      <c r="F1" s="676"/>
      <c r="G1" s="676"/>
      <c r="H1" s="676"/>
      <c r="I1" s="676"/>
      <c r="J1" s="676"/>
    </row>
    <row r="3" spans="1:14">
      <c r="A3" s="120" t="s">
        <v>254</v>
      </c>
      <c r="B3" s="1413">
        <f>'City information'!$C$4</f>
        <v>0</v>
      </c>
      <c r="C3" s="120"/>
      <c r="D3" s="120"/>
      <c r="E3" s="120"/>
      <c r="F3" s="126"/>
      <c r="G3" s="126"/>
      <c r="H3" s="126"/>
      <c r="I3" s="126"/>
      <c r="J3" s="126"/>
      <c r="K3" s="126"/>
      <c r="L3" s="126"/>
      <c r="M3" s="126"/>
      <c r="N3" s="126"/>
    </row>
    <row r="4" spans="1:14">
      <c r="A4" s="120" t="s">
        <v>140</v>
      </c>
      <c r="B4" s="1413">
        <f>'City information'!$C$5</f>
        <v>2562</v>
      </c>
      <c r="C4" s="120"/>
      <c r="D4" s="120"/>
      <c r="E4" s="120"/>
      <c r="F4" s="126"/>
      <c r="G4" s="126"/>
      <c r="H4" s="126"/>
      <c r="I4" s="126"/>
      <c r="J4" s="126"/>
      <c r="K4" s="126"/>
      <c r="L4" s="126"/>
      <c r="M4" s="126"/>
      <c r="N4" s="126"/>
    </row>
    <row r="6" spans="1:14" ht="14.4">
      <c r="A6" s="111" t="s">
        <v>447</v>
      </c>
      <c r="B6" s="111"/>
      <c r="C6" s="1302" t="s">
        <v>443</v>
      </c>
      <c r="D6" s="1302" t="s">
        <v>444</v>
      </c>
      <c r="E6" s="1302" t="s">
        <v>445</v>
      </c>
    </row>
    <row r="7" spans="1:14">
      <c r="A7" s="500" t="s">
        <v>1136</v>
      </c>
      <c r="B7" s="863" t="s">
        <v>438</v>
      </c>
      <c r="C7" s="1658">
        <f>GPC!$F$84</f>
        <v>1</v>
      </c>
      <c r="D7" s="1658">
        <f>GPC!$F$85</f>
        <v>28</v>
      </c>
      <c r="E7" s="1658">
        <f>GPC!$F$87</f>
        <v>265</v>
      </c>
    </row>
    <row r="8" spans="1:14" s="114" customFormat="1">
      <c r="A8" s="496" t="s">
        <v>1137</v>
      </c>
      <c r="B8" s="496"/>
      <c r="C8" s="496"/>
      <c r="D8" s="496"/>
      <c r="E8" s="496"/>
    </row>
    <row r="9" spans="1:14" s="114" customFormat="1">
      <c r="A9" s="643"/>
      <c r="B9" s="643"/>
      <c r="C9" s="643"/>
      <c r="D9" s="643"/>
      <c r="E9" s="643"/>
    </row>
    <row r="10" spans="1:14" s="114" customFormat="1">
      <c r="A10" s="644" t="s">
        <v>917</v>
      </c>
      <c r="B10" s="644" t="s">
        <v>918</v>
      </c>
      <c r="C10" s="644" t="s">
        <v>919</v>
      </c>
      <c r="D10" s="644" t="s">
        <v>920</v>
      </c>
      <c r="E10" s="644" t="s">
        <v>921</v>
      </c>
    </row>
    <row r="11" spans="1:14" s="114" customFormat="1" ht="39.6">
      <c r="A11" s="645" t="s">
        <v>1138</v>
      </c>
      <c r="B11" s="645" t="s">
        <v>1139</v>
      </c>
      <c r="C11" s="645" t="s">
        <v>1140</v>
      </c>
      <c r="D11" s="645" t="s">
        <v>932</v>
      </c>
      <c r="E11" s="645" t="s">
        <v>932</v>
      </c>
    </row>
    <row r="12" spans="1:14" s="114" customFormat="1" ht="14.4">
      <c r="A12" s="638" t="s">
        <v>1141</v>
      </c>
      <c r="B12" s="653" t="s">
        <v>1142</v>
      </c>
      <c r="C12" s="664" t="s">
        <v>934</v>
      </c>
      <c r="D12" s="637" t="s">
        <v>936</v>
      </c>
      <c r="E12" s="637" t="s">
        <v>937</v>
      </c>
    </row>
    <row r="13" spans="1:14" s="114" customFormat="1" ht="15" thickBot="1">
      <c r="A13" s="650"/>
      <c r="B13" s="646"/>
      <c r="C13" s="665"/>
      <c r="D13" s="647" t="s">
        <v>2312</v>
      </c>
      <c r="E13" s="647" t="s">
        <v>1032</v>
      </c>
    </row>
    <row r="14" spans="1:14" s="114" customFormat="1" ht="13.8" thickTop="1">
      <c r="A14" s="721"/>
      <c r="B14" s="667">
        <v>20</v>
      </c>
      <c r="C14" s="667">
        <v>0.2</v>
      </c>
      <c r="D14" s="1666">
        <f>A14*B14*C14*44/12</f>
        <v>0</v>
      </c>
      <c r="E14" s="1666">
        <f>D14/10^3</f>
        <v>0</v>
      </c>
      <c r="F14" s="103"/>
    </row>
    <row r="16" spans="1:14" s="114" customFormat="1">
      <c r="A16" s="496" t="s">
        <v>1144</v>
      </c>
      <c r="B16" s="496"/>
      <c r="C16" s="496"/>
      <c r="D16" s="496"/>
      <c r="E16" s="496"/>
    </row>
    <row r="17" spans="1:6" s="114" customFormat="1">
      <c r="A17" s="643"/>
      <c r="B17" s="643"/>
      <c r="C17" s="643"/>
      <c r="D17" s="643"/>
      <c r="E17" s="643"/>
    </row>
    <row r="18" spans="1:6" s="114" customFormat="1">
      <c r="A18" s="644" t="s">
        <v>917</v>
      </c>
      <c r="B18" s="644" t="s">
        <v>918</v>
      </c>
      <c r="C18" s="644" t="s">
        <v>919</v>
      </c>
      <c r="D18" s="644" t="s">
        <v>920</v>
      </c>
      <c r="E18" s="644" t="s">
        <v>921</v>
      </c>
    </row>
    <row r="19" spans="1:6" s="114" customFormat="1" ht="39.6">
      <c r="A19" s="645" t="s">
        <v>1145</v>
      </c>
      <c r="B19" s="645" t="s">
        <v>1146</v>
      </c>
      <c r="C19" s="645" t="s">
        <v>1140</v>
      </c>
      <c r="D19" s="645" t="s">
        <v>932</v>
      </c>
      <c r="E19" s="645" t="s">
        <v>932</v>
      </c>
    </row>
    <row r="20" spans="1:6" s="114" customFormat="1" ht="14.4">
      <c r="A20" s="638" t="s">
        <v>1141</v>
      </c>
      <c r="B20" s="653" t="s">
        <v>1142</v>
      </c>
      <c r="C20" s="664" t="s">
        <v>934</v>
      </c>
      <c r="D20" s="637" t="s">
        <v>936</v>
      </c>
      <c r="E20" s="637" t="s">
        <v>937</v>
      </c>
    </row>
    <row r="21" spans="1:6" s="114" customFormat="1" ht="15" thickBot="1">
      <c r="A21" s="650"/>
      <c r="B21" s="646"/>
      <c r="C21" s="665"/>
      <c r="D21" s="647" t="s">
        <v>1143</v>
      </c>
      <c r="E21" s="647" t="s">
        <v>1032</v>
      </c>
    </row>
    <row r="22" spans="1:6" s="114" customFormat="1" ht="13.8" thickTop="1">
      <c r="A22" s="721"/>
      <c r="B22" s="667">
        <v>20</v>
      </c>
      <c r="C22" s="1379">
        <v>0.2</v>
      </c>
      <c r="D22" s="1666">
        <f>A22*B22*C22*44/12</f>
        <v>0</v>
      </c>
      <c r="E22" s="1666">
        <f>D22/10^3</f>
        <v>0</v>
      </c>
      <c r="F22" s="103"/>
    </row>
    <row r="23" spans="1:6">
      <c r="E23" s="4"/>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AD73"/>
  <sheetViews>
    <sheetView zoomScale="55" zoomScaleNormal="55" workbookViewId="0">
      <selection activeCell="G31" sqref="G31"/>
    </sheetView>
  </sheetViews>
  <sheetFormatPr defaultColWidth="9.33203125" defaultRowHeight="13.2"/>
  <cols>
    <col min="1" max="1" width="24" style="99" customWidth="1"/>
    <col min="2" max="2" width="22" style="99" customWidth="1"/>
    <col min="3" max="3" width="17.33203125" style="99" customWidth="1"/>
    <col min="4" max="13" width="13.6640625" style="99" customWidth="1"/>
    <col min="14" max="14" width="17.5546875" style="99" customWidth="1"/>
    <col min="15" max="15" width="16.33203125" style="99" customWidth="1"/>
    <col min="16" max="16" width="13.6640625" style="99" customWidth="1"/>
    <col min="17" max="17" width="16" style="99" hidden="1" customWidth="1"/>
    <col min="18" max="18" width="0" style="99" hidden="1" customWidth="1"/>
    <col min="19" max="19" width="11.6640625" style="99" hidden="1" customWidth="1"/>
    <col min="20" max="20" width="10.6640625" style="99" hidden="1" customWidth="1"/>
    <col min="21" max="16384" width="9.33203125" style="99"/>
  </cols>
  <sheetData>
    <row r="1" spans="1:30" s="205" customFormat="1">
      <c r="A1" s="1474" t="s">
        <v>1147</v>
      </c>
      <c r="B1" s="1474"/>
      <c r="C1" s="1474"/>
      <c r="D1" s="1474"/>
      <c r="E1" s="1474"/>
      <c r="F1" s="1474"/>
      <c r="G1" s="1474"/>
      <c r="H1" s="1474"/>
      <c r="I1" s="1474"/>
      <c r="J1" s="1474"/>
      <c r="K1" s="1475"/>
      <c r="L1" s="1475"/>
      <c r="M1" s="1475"/>
      <c r="N1" s="1475"/>
    </row>
    <row r="2" spans="1:30">
      <c r="A2" s="1476" t="s">
        <v>1148</v>
      </c>
      <c r="B2" s="1477"/>
      <c r="C2" s="1477"/>
      <c r="D2" s="1477"/>
      <c r="E2" s="1477"/>
      <c r="F2" s="1477"/>
      <c r="G2" s="1477"/>
      <c r="H2" s="1477"/>
      <c r="I2" s="1477"/>
      <c r="J2" s="1477"/>
      <c r="K2" s="1477"/>
      <c r="L2" s="1477"/>
      <c r="M2" s="1477"/>
      <c r="N2" s="1477"/>
    </row>
    <row r="4" spans="1:30">
      <c r="A4" s="120" t="s">
        <v>254</v>
      </c>
      <c r="B4" s="1413">
        <f>'City information'!$C$4</f>
        <v>0</v>
      </c>
      <c r="C4" s="120"/>
      <c r="D4" s="120"/>
      <c r="E4" s="120"/>
      <c r="F4" s="120"/>
      <c r="G4" s="120"/>
      <c r="H4" s="120"/>
      <c r="I4" s="120"/>
      <c r="J4" s="120"/>
      <c r="K4" s="120"/>
      <c r="L4" s="120"/>
      <c r="M4" s="120"/>
      <c r="N4" s="120"/>
    </row>
    <row r="5" spans="1:30">
      <c r="A5" s="120" t="s">
        <v>140</v>
      </c>
      <c r="B5" s="1413">
        <f>'City information'!$C$5</f>
        <v>2562</v>
      </c>
      <c r="C5" s="120"/>
      <c r="D5" s="120"/>
      <c r="E5" s="120"/>
      <c r="F5" s="120"/>
      <c r="G5" s="120"/>
      <c r="H5" s="120"/>
      <c r="I5" s="120"/>
      <c r="J5" s="120"/>
      <c r="K5" s="120"/>
      <c r="L5" s="120"/>
      <c r="M5" s="120"/>
      <c r="N5" s="120"/>
    </row>
    <row r="7" spans="1:30" ht="14.4">
      <c r="A7" s="111" t="s">
        <v>447</v>
      </c>
      <c r="B7" s="111"/>
      <c r="C7" s="111"/>
      <c r="D7" s="111"/>
      <c r="E7" s="111"/>
      <c r="F7" s="111"/>
      <c r="G7" s="1302" t="s">
        <v>443</v>
      </c>
      <c r="H7" s="1302" t="s">
        <v>444</v>
      </c>
      <c r="I7" s="1302" t="s">
        <v>445</v>
      </c>
      <c r="J7" s="111"/>
      <c r="K7" s="111"/>
      <c r="L7" s="111"/>
      <c r="M7" s="111"/>
      <c r="N7" s="111"/>
      <c r="Q7" s="104"/>
      <c r="R7" s="104"/>
      <c r="S7" s="104"/>
      <c r="T7" s="104"/>
      <c r="U7" s="104"/>
      <c r="V7" s="104"/>
      <c r="W7" s="104"/>
      <c r="X7" s="104"/>
      <c r="Y7" s="104"/>
      <c r="Z7" s="104"/>
    </row>
    <row r="8" spans="1:30">
      <c r="A8" s="124" t="s">
        <v>1149</v>
      </c>
      <c r="C8" s="1328" t="s">
        <v>2259</v>
      </c>
      <c r="D8" s="2203" t="s">
        <v>438</v>
      </c>
      <c r="E8" s="2203"/>
      <c r="F8" s="2203"/>
      <c r="G8" s="1468">
        <f>GPC!$F$84</f>
        <v>1</v>
      </c>
      <c r="H8" s="1468">
        <f>GPC!$F$85</f>
        <v>28</v>
      </c>
      <c r="I8" s="1468">
        <f>GPC!$F$87</f>
        <v>265</v>
      </c>
      <c r="Q8" s="104"/>
      <c r="R8" s="104"/>
      <c r="S8" s="104"/>
      <c r="T8" s="104"/>
      <c r="U8" s="104"/>
      <c r="V8" s="104"/>
      <c r="W8" s="104"/>
      <c r="X8" s="104"/>
      <c r="Y8" s="104"/>
      <c r="Z8" s="104"/>
    </row>
    <row r="9" spans="1:30" ht="14.4">
      <c r="A9" s="2204" t="s">
        <v>1150</v>
      </c>
      <c r="B9" s="2206" t="s">
        <v>2434</v>
      </c>
      <c r="C9" s="2206" t="s">
        <v>1151</v>
      </c>
      <c r="D9" s="2206" t="s">
        <v>258</v>
      </c>
      <c r="E9" s="2206" t="s">
        <v>1152</v>
      </c>
      <c r="F9" s="2206"/>
      <c r="G9" s="2206"/>
      <c r="H9" s="2206" t="s">
        <v>2473</v>
      </c>
      <c r="I9" s="2206"/>
      <c r="J9" s="2206"/>
      <c r="K9" s="2206"/>
      <c r="L9" s="2212" t="s">
        <v>2449</v>
      </c>
      <c r="M9" s="2212"/>
      <c r="N9" s="2212"/>
      <c r="O9" s="2213"/>
      <c r="R9" s="104"/>
      <c r="S9" s="104"/>
      <c r="T9" s="104"/>
      <c r="U9" s="104"/>
      <c r="V9" s="104"/>
      <c r="W9" s="104"/>
      <c r="X9" s="104"/>
      <c r="Y9" s="104"/>
      <c r="Z9" s="104"/>
      <c r="AA9" s="104"/>
    </row>
    <row r="10" spans="1:30" s="114" customFormat="1" ht="34.200000000000003" customHeight="1" thickBot="1">
      <c r="A10" s="2205"/>
      <c r="B10" s="2207"/>
      <c r="C10" s="2207"/>
      <c r="D10" s="2207"/>
      <c r="E10" s="1462" t="s">
        <v>443</v>
      </c>
      <c r="F10" s="1462" t="s">
        <v>444</v>
      </c>
      <c r="G10" s="1462" t="s">
        <v>445</v>
      </c>
      <c r="H10" s="1463" t="s">
        <v>443</v>
      </c>
      <c r="I10" s="1463" t="s">
        <v>444</v>
      </c>
      <c r="J10" s="1463" t="s">
        <v>445</v>
      </c>
      <c r="K10" s="1463" t="s">
        <v>446</v>
      </c>
      <c r="L10" s="1464" t="s">
        <v>443</v>
      </c>
      <c r="M10" s="1464" t="s">
        <v>444</v>
      </c>
      <c r="N10" s="1464" t="s">
        <v>445</v>
      </c>
      <c r="O10" s="1789" t="s">
        <v>2451</v>
      </c>
      <c r="Q10" s="1465" t="s">
        <v>2290</v>
      </c>
      <c r="R10" s="1466" t="s">
        <v>2447</v>
      </c>
      <c r="S10" s="103"/>
      <c r="T10" s="1867"/>
      <c r="U10" s="2202"/>
      <c r="V10" s="2202"/>
      <c r="W10" s="2202"/>
      <c r="X10" s="2202"/>
      <c r="Y10" s="2202"/>
      <c r="Z10" s="2202"/>
      <c r="AA10" s="2202"/>
      <c r="AB10" s="2202"/>
      <c r="AC10" s="2202"/>
      <c r="AD10" s="2202"/>
    </row>
    <row r="11" spans="1:30" s="104" customFormat="1">
      <c r="A11" s="1670" t="str">
        <f>EF_Livestock!A6</f>
        <v>โคนม</v>
      </c>
      <c r="B11" s="1483"/>
      <c r="C11" s="1736"/>
      <c r="D11" s="1671" t="s">
        <v>1153</v>
      </c>
      <c r="E11" s="1672"/>
      <c r="F11" s="1673">
        <f>EF_Livestock!C6</f>
        <v>56.41</v>
      </c>
      <c r="G11" s="1672"/>
      <c r="H11" s="1629">
        <f t="shared" ref="H11:H27" si="0">IFERROR(E11*$G$8,0)</f>
        <v>0</v>
      </c>
      <c r="I11" s="1629">
        <f t="shared" ref="I11:I27" si="1">IFERROR(F11*$H$8,0)</f>
        <v>1579.48</v>
      </c>
      <c r="J11" s="1629">
        <f t="shared" ref="J11:J27" si="2">IFERROR(G11*$I$8,0)</f>
        <v>0</v>
      </c>
      <c r="K11" s="1674">
        <f>SUM(H11:J11)</f>
        <v>1579.48</v>
      </c>
      <c r="L11" s="1480">
        <f t="shared" ref="L11:L27" si="3">($C11*H11)/10^3</f>
        <v>0</v>
      </c>
      <c r="M11" s="1480">
        <f t="shared" ref="M11:M27" si="4">($C11*I11)/10^3</f>
        <v>0</v>
      </c>
      <c r="N11" s="1480">
        <f t="shared" ref="N11:N27" si="5">($C11*J11)/10^3</f>
        <v>0</v>
      </c>
      <c r="O11" s="1675">
        <f>SUM(L11:N11)</f>
        <v>0</v>
      </c>
      <c r="Q11" s="104">
        <f t="shared" ref="Q11:Q17" si="6">($C11*F11)/10^3</f>
        <v>0</v>
      </c>
      <c r="R11" s="104">
        <f>Q11*28</f>
        <v>0</v>
      </c>
      <c r="T11" s="1868"/>
      <c r="U11" s="1869"/>
      <c r="V11" s="1868"/>
      <c r="W11" s="1868"/>
      <c r="X11" s="1868"/>
      <c r="Y11" s="1868"/>
      <c r="Z11" s="1868"/>
      <c r="AA11" s="1868"/>
      <c r="AB11" s="1868"/>
      <c r="AC11" s="1868"/>
      <c r="AD11" s="1868"/>
    </row>
    <row r="12" spans="1:30" s="104" customFormat="1" ht="14.25" customHeight="1">
      <c r="A12" s="1676" t="str">
        <f>EF_Livestock!A7</f>
        <v>โคอื่นๆ</v>
      </c>
      <c r="B12" s="1677"/>
      <c r="C12" s="1251"/>
      <c r="D12" s="547" t="s">
        <v>1153</v>
      </c>
      <c r="F12" s="103">
        <f>EF_Livestock!C7</f>
        <v>42.7</v>
      </c>
      <c r="H12" s="535">
        <f t="shared" si="0"/>
        <v>0</v>
      </c>
      <c r="I12" s="535">
        <f>IFERROR(F12*$H$8,0)</f>
        <v>1195.6000000000001</v>
      </c>
      <c r="J12" s="535">
        <f t="shared" si="2"/>
        <v>0</v>
      </c>
      <c r="K12" s="554">
        <f t="shared" ref="K12:K27" si="7">SUM(H12:J12)</f>
        <v>1195.6000000000001</v>
      </c>
      <c r="L12" s="539">
        <f t="shared" si="3"/>
        <v>0</v>
      </c>
      <c r="M12" s="539">
        <f t="shared" si="4"/>
        <v>0</v>
      </c>
      <c r="N12" s="539">
        <f t="shared" si="5"/>
        <v>0</v>
      </c>
      <c r="O12" s="1481">
        <f>SUM(L12:N12)</f>
        <v>0</v>
      </c>
      <c r="Q12" s="104">
        <f t="shared" si="6"/>
        <v>0</v>
      </c>
      <c r="R12" s="104">
        <f t="shared" ref="R12:R27" si="8">Q12*28</f>
        <v>0</v>
      </c>
      <c r="T12" s="1868"/>
      <c r="U12" s="1869"/>
      <c r="V12" s="1868"/>
      <c r="W12" s="1868"/>
      <c r="X12" s="1868"/>
      <c r="Y12" s="1868"/>
      <c r="Z12" s="1868"/>
      <c r="AA12" s="1868"/>
      <c r="AB12" s="1868"/>
      <c r="AC12" s="1868"/>
      <c r="AD12" s="1868"/>
    </row>
    <row r="13" spans="1:30" s="104" customFormat="1">
      <c r="A13" s="1676" t="str">
        <f>EF_Livestock!A8</f>
        <v>กระบือ</v>
      </c>
      <c r="B13" s="1677"/>
      <c r="C13" s="1251"/>
      <c r="D13" s="547" t="s">
        <v>1153</v>
      </c>
      <c r="F13" s="103">
        <f>EF_Livestock!C8</f>
        <v>59.91</v>
      </c>
      <c r="H13" s="535">
        <f t="shared" si="0"/>
        <v>0</v>
      </c>
      <c r="I13" s="535">
        <f>IFERROR(F13*$H$8,0)</f>
        <v>1677.48</v>
      </c>
      <c r="J13" s="535">
        <f t="shared" si="2"/>
        <v>0</v>
      </c>
      <c r="K13" s="554">
        <f t="shared" si="7"/>
        <v>1677.48</v>
      </c>
      <c r="L13" s="539">
        <f t="shared" si="3"/>
        <v>0</v>
      </c>
      <c r="M13" s="539">
        <f t="shared" si="4"/>
        <v>0</v>
      </c>
      <c r="N13" s="539">
        <f t="shared" si="5"/>
        <v>0</v>
      </c>
      <c r="O13" s="1481">
        <f t="shared" ref="O13:O27" si="9">SUM(L13:N13)</f>
        <v>0</v>
      </c>
      <c r="Q13" s="104">
        <f t="shared" si="6"/>
        <v>0</v>
      </c>
      <c r="R13" s="104">
        <f t="shared" si="8"/>
        <v>0</v>
      </c>
      <c r="T13" s="1868"/>
      <c r="U13" s="1869"/>
      <c r="V13" s="1868"/>
      <c r="W13" s="1868"/>
      <c r="X13" s="1868"/>
      <c r="Y13" s="1868"/>
      <c r="Z13" s="1868"/>
      <c r="AA13" s="1868"/>
      <c r="AB13" s="1868"/>
      <c r="AC13" s="1868"/>
      <c r="AD13" s="1868"/>
    </row>
    <row r="14" spans="1:30" s="104" customFormat="1">
      <c r="A14" s="1676" t="str">
        <f>EF_Livestock!A9</f>
        <v>แกะ</v>
      </c>
      <c r="B14" s="1677"/>
      <c r="C14" s="1251"/>
      <c r="D14" s="547" t="s">
        <v>1153</v>
      </c>
      <c r="F14" s="103">
        <f>EF_Livestock!B9</f>
        <v>5</v>
      </c>
      <c r="H14" s="535">
        <f t="shared" si="0"/>
        <v>0</v>
      </c>
      <c r="I14" s="535">
        <f>IFERROR(F14*$H$8,0)</f>
        <v>140</v>
      </c>
      <c r="J14" s="535">
        <f t="shared" si="2"/>
        <v>0</v>
      </c>
      <c r="K14" s="554">
        <f t="shared" si="7"/>
        <v>140</v>
      </c>
      <c r="L14" s="539">
        <f t="shared" si="3"/>
        <v>0</v>
      </c>
      <c r="M14" s="539">
        <f t="shared" si="4"/>
        <v>0</v>
      </c>
      <c r="N14" s="539">
        <f t="shared" si="5"/>
        <v>0</v>
      </c>
      <c r="O14" s="1481">
        <f t="shared" si="9"/>
        <v>0</v>
      </c>
      <c r="Q14" s="104">
        <f t="shared" si="6"/>
        <v>0</v>
      </c>
      <c r="R14" s="104">
        <f t="shared" si="8"/>
        <v>0</v>
      </c>
      <c r="T14" s="1868"/>
      <c r="U14" s="1869"/>
      <c r="V14" s="1868"/>
      <c r="W14" s="1868"/>
      <c r="X14" s="1868"/>
      <c r="Y14" s="1868"/>
      <c r="Z14" s="1868"/>
      <c r="AA14" s="1868"/>
      <c r="AB14" s="1868"/>
      <c r="AC14" s="1868"/>
      <c r="AD14" s="1868"/>
    </row>
    <row r="15" spans="1:30" s="104" customFormat="1">
      <c r="A15" s="1676" t="str">
        <f>EF_Livestock!A10</f>
        <v>แพะ</v>
      </c>
      <c r="B15" s="1677"/>
      <c r="C15" s="1251"/>
      <c r="D15" s="547" t="s">
        <v>1153</v>
      </c>
      <c r="F15" s="103">
        <f>EF_Livestock!B10</f>
        <v>5</v>
      </c>
      <c r="H15" s="535">
        <f t="shared" si="0"/>
        <v>0</v>
      </c>
      <c r="I15" s="535">
        <f t="shared" si="1"/>
        <v>140</v>
      </c>
      <c r="J15" s="535">
        <f t="shared" si="2"/>
        <v>0</v>
      </c>
      <c r="K15" s="554">
        <f t="shared" si="7"/>
        <v>140</v>
      </c>
      <c r="L15" s="539">
        <f t="shared" si="3"/>
        <v>0</v>
      </c>
      <c r="M15" s="539">
        <f t="shared" si="4"/>
        <v>0</v>
      </c>
      <c r="N15" s="539">
        <f t="shared" si="5"/>
        <v>0</v>
      </c>
      <c r="O15" s="1481">
        <f t="shared" si="9"/>
        <v>0</v>
      </c>
      <c r="Q15" s="104">
        <f t="shared" si="6"/>
        <v>0</v>
      </c>
      <c r="R15" s="104">
        <f t="shared" si="8"/>
        <v>0</v>
      </c>
      <c r="T15" s="1869"/>
      <c r="U15" s="1869"/>
      <c r="V15" s="1868"/>
      <c r="W15" s="1868"/>
      <c r="X15" s="1868"/>
      <c r="Y15" s="1868"/>
      <c r="Z15" s="1868"/>
      <c r="AA15" s="1868"/>
      <c r="AB15" s="1868"/>
      <c r="AC15" s="1868"/>
      <c r="AD15" s="1868"/>
    </row>
    <row r="16" spans="1:30" s="104" customFormat="1">
      <c r="A16" s="1676" t="str">
        <f>EF_Livestock!A11</f>
        <v>อูฐ</v>
      </c>
      <c r="B16" s="1677"/>
      <c r="C16" s="1251"/>
      <c r="D16" s="547" t="s">
        <v>1153</v>
      </c>
      <c r="F16" s="103">
        <f>EF_Livestock!B11</f>
        <v>46</v>
      </c>
      <c r="H16" s="535">
        <f t="shared" si="0"/>
        <v>0</v>
      </c>
      <c r="I16" s="535">
        <f t="shared" si="1"/>
        <v>1288</v>
      </c>
      <c r="J16" s="535">
        <f t="shared" si="2"/>
        <v>0</v>
      </c>
      <c r="K16" s="554">
        <f t="shared" si="7"/>
        <v>1288</v>
      </c>
      <c r="L16" s="539">
        <f t="shared" si="3"/>
        <v>0</v>
      </c>
      <c r="M16" s="539">
        <f t="shared" si="4"/>
        <v>0</v>
      </c>
      <c r="N16" s="539">
        <f t="shared" si="5"/>
        <v>0</v>
      </c>
      <c r="O16" s="1481">
        <f t="shared" si="9"/>
        <v>0</v>
      </c>
      <c r="Q16" s="104">
        <f t="shared" si="6"/>
        <v>0</v>
      </c>
      <c r="R16" s="104">
        <f t="shared" si="8"/>
        <v>0</v>
      </c>
      <c r="T16" s="1869"/>
      <c r="U16" s="1868"/>
      <c r="V16" s="1868"/>
      <c r="W16" s="1868"/>
      <c r="X16" s="1868"/>
      <c r="Y16" s="1868"/>
      <c r="Z16" s="1868"/>
      <c r="AA16" s="1868"/>
      <c r="AB16" s="1868"/>
      <c r="AC16" s="1868"/>
      <c r="AD16" s="1868"/>
    </row>
    <row r="17" spans="1:20" s="104" customFormat="1">
      <c r="A17" s="1676" t="str">
        <f>EF_Livestock!A12</f>
        <v>ม้า</v>
      </c>
      <c r="B17" s="1677"/>
      <c r="C17" s="1251"/>
      <c r="D17" s="547" t="s">
        <v>1153</v>
      </c>
      <c r="F17" s="103">
        <f>EF_Livestock!B12</f>
        <v>18</v>
      </c>
      <c r="H17" s="535">
        <f t="shared" si="0"/>
        <v>0</v>
      </c>
      <c r="I17" s="535">
        <f>IFERROR(F17*$H$8,0)</f>
        <v>504</v>
      </c>
      <c r="J17" s="535">
        <f>IFERROR(G17*$I$8,0)</f>
        <v>0</v>
      </c>
      <c r="K17" s="554">
        <f t="shared" si="7"/>
        <v>504</v>
      </c>
      <c r="L17" s="539">
        <f t="shared" si="3"/>
        <v>0</v>
      </c>
      <c r="M17" s="539">
        <f t="shared" si="4"/>
        <v>0</v>
      </c>
      <c r="N17" s="539">
        <f t="shared" si="5"/>
        <v>0</v>
      </c>
      <c r="O17" s="1481">
        <f t="shared" si="9"/>
        <v>0</v>
      </c>
      <c r="Q17" s="104">
        <f t="shared" si="6"/>
        <v>0</v>
      </c>
      <c r="R17" s="104">
        <f t="shared" si="8"/>
        <v>0</v>
      </c>
    </row>
    <row r="18" spans="1:20" s="104" customFormat="1">
      <c r="A18" s="1676" t="str">
        <f>EF_Livestock!A13</f>
        <v>ล่อ ลา</v>
      </c>
      <c r="B18" s="1677"/>
      <c r="C18" s="1251"/>
      <c r="D18" s="547" t="s">
        <v>1153</v>
      </c>
      <c r="F18" s="103" t="str">
        <f>EF_Livestock!B13</f>
        <v>n/a</v>
      </c>
      <c r="H18" s="535">
        <f t="shared" si="0"/>
        <v>0</v>
      </c>
      <c r="I18" s="535">
        <f>IFERROR(F18*$H$8,0)</f>
        <v>0</v>
      </c>
      <c r="J18" s="535">
        <f t="shared" si="2"/>
        <v>0</v>
      </c>
      <c r="K18" s="554">
        <f t="shared" si="7"/>
        <v>0</v>
      </c>
      <c r="L18" s="539">
        <f>($C18*H18)/10^3</f>
        <v>0</v>
      </c>
      <c r="M18" s="539">
        <f>($C18*I18)/10^3</f>
        <v>0</v>
      </c>
      <c r="N18" s="539">
        <f t="shared" si="5"/>
        <v>0</v>
      </c>
      <c r="O18" s="1481">
        <f>SUM(L18:N18)</f>
        <v>0</v>
      </c>
      <c r="Q18" s="104">
        <v>0</v>
      </c>
      <c r="R18" s="104">
        <f t="shared" si="8"/>
        <v>0</v>
      </c>
    </row>
    <row r="19" spans="1:20" s="104" customFormat="1">
      <c r="A19" s="1676" t="str">
        <f>EF_Livestock!A14</f>
        <v>สุกร</v>
      </c>
      <c r="B19" s="1677"/>
      <c r="C19" s="1251"/>
      <c r="D19" s="547" t="s">
        <v>1153</v>
      </c>
      <c r="F19" s="103">
        <f>EF_Livestock!B14</f>
        <v>1</v>
      </c>
      <c r="H19" s="535">
        <f t="shared" si="0"/>
        <v>0</v>
      </c>
      <c r="I19" s="535">
        <f t="shared" si="1"/>
        <v>28</v>
      </c>
      <c r="J19" s="535">
        <f t="shared" si="2"/>
        <v>0</v>
      </c>
      <c r="K19" s="554">
        <f t="shared" si="7"/>
        <v>28</v>
      </c>
      <c r="L19" s="539">
        <f t="shared" si="3"/>
        <v>0</v>
      </c>
      <c r="M19" s="539">
        <f t="shared" si="4"/>
        <v>0</v>
      </c>
      <c r="N19" s="539">
        <f t="shared" si="5"/>
        <v>0</v>
      </c>
      <c r="O19" s="1481">
        <f t="shared" si="9"/>
        <v>0</v>
      </c>
      <c r="Q19" s="104">
        <f>($C19*F19)/10^3</f>
        <v>0</v>
      </c>
      <c r="R19" s="104">
        <f t="shared" si="8"/>
        <v>0</v>
      </c>
    </row>
    <row r="20" spans="1:20" s="104" customFormat="1">
      <c r="A20" s="1676" t="str">
        <f>EF_Livestock!A15</f>
        <v>กวาง</v>
      </c>
      <c r="B20" s="1677"/>
      <c r="C20" s="1251"/>
      <c r="D20" s="547" t="s">
        <v>1153</v>
      </c>
      <c r="F20" s="103">
        <f>EF_Livestock!B15</f>
        <v>20</v>
      </c>
      <c r="H20" s="535">
        <f t="shared" si="0"/>
        <v>0</v>
      </c>
      <c r="I20" s="535">
        <f t="shared" si="1"/>
        <v>560</v>
      </c>
      <c r="J20" s="535">
        <f t="shared" si="2"/>
        <v>0</v>
      </c>
      <c r="K20" s="554">
        <f t="shared" si="7"/>
        <v>560</v>
      </c>
      <c r="L20" s="539">
        <f t="shared" si="3"/>
        <v>0</v>
      </c>
      <c r="M20" s="539">
        <f t="shared" si="4"/>
        <v>0</v>
      </c>
      <c r="N20" s="539">
        <f t="shared" si="5"/>
        <v>0</v>
      </c>
      <c r="O20" s="1481">
        <f t="shared" si="9"/>
        <v>0</v>
      </c>
      <c r="Q20" s="104">
        <f>($C20*F20)/10^3</f>
        <v>0</v>
      </c>
      <c r="R20" s="104">
        <f t="shared" si="8"/>
        <v>0</v>
      </c>
    </row>
    <row r="21" spans="1:20" s="104" customFormat="1">
      <c r="A21" s="1676" t="str">
        <f>EF_Livestock!A16</f>
        <v>ช้าง</v>
      </c>
      <c r="B21" s="1677"/>
      <c r="C21" s="1251"/>
      <c r="D21" s="547" t="s">
        <v>1153</v>
      </c>
      <c r="F21" s="103" t="str">
        <f>EF_Livestock!B16</f>
        <v>n/a</v>
      </c>
      <c r="H21" s="535">
        <f t="shared" si="0"/>
        <v>0</v>
      </c>
      <c r="I21" s="535">
        <f t="shared" si="1"/>
        <v>0</v>
      </c>
      <c r="J21" s="535">
        <f t="shared" si="2"/>
        <v>0</v>
      </c>
      <c r="K21" s="554">
        <f t="shared" si="7"/>
        <v>0</v>
      </c>
      <c r="L21" s="539">
        <f t="shared" si="3"/>
        <v>0</v>
      </c>
      <c r="M21" s="539">
        <f t="shared" si="4"/>
        <v>0</v>
      </c>
      <c r="N21" s="539">
        <f t="shared" si="5"/>
        <v>0</v>
      </c>
      <c r="O21" s="1481">
        <f t="shared" si="9"/>
        <v>0</v>
      </c>
      <c r="Q21" s="104">
        <v>0</v>
      </c>
      <c r="R21" s="104">
        <f t="shared" si="8"/>
        <v>0</v>
      </c>
    </row>
    <row r="22" spans="1:20" s="104" customFormat="1">
      <c r="A22" s="1676" t="str">
        <f>EF_Livestock!A17</f>
        <v>ไก่</v>
      </c>
      <c r="B22" s="1677"/>
      <c r="C22" s="1251"/>
      <c r="D22" s="547" t="s">
        <v>1153</v>
      </c>
      <c r="F22" s="103" t="str">
        <f>EF_Livestock!B17</f>
        <v>n/a</v>
      </c>
      <c r="H22" s="535">
        <f t="shared" si="0"/>
        <v>0</v>
      </c>
      <c r="I22" s="535">
        <f>IFERROR(F22*$H$8,0)</f>
        <v>0</v>
      </c>
      <c r="J22" s="535">
        <f t="shared" si="2"/>
        <v>0</v>
      </c>
      <c r="K22" s="554">
        <f t="shared" si="7"/>
        <v>0</v>
      </c>
      <c r="L22" s="539">
        <f t="shared" si="3"/>
        <v>0</v>
      </c>
      <c r="M22" s="539">
        <f>($C22*I22)/10^3</f>
        <v>0</v>
      </c>
      <c r="N22" s="539">
        <f t="shared" si="5"/>
        <v>0</v>
      </c>
      <c r="O22" s="1481">
        <f>SUM(L22:N22)</f>
        <v>0</v>
      </c>
      <c r="Q22" s="104">
        <v>0</v>
      </c>
      <c r="R22" s="104">
        <f t="shared" si="8"/>
        <v>0</v>
      </c>
    </row>
    <row r="23" spans="1:20" s="104" customFormat="1">
      <c r="A23" s="1676" t="str">
        <f>EF_Livestock!A18</f>
        <v>เป็ด</v>
      </c>
      <c r="B23" s="1677"/>
      <c r="C23" s="1251"/>
      <c r="D23" s="547" t="s">
        <v>1153</v>
      </c>
      <c r="F23" s="103" t="str">
        <f>EF_Livestock!B18</f>
        <v>n/a</v>
      </c>
      <c r="H23" s="535">
        <f t="shared" si="0"/>
        <v>0</v>
      </c>
      <c r="I23" s="535">
        <f t="shared" si="1"/>
        <v>0</v>
      </c>
      <c r="J23" s="535">
        <f t="shared" si="2"/>
        <v>0</v>
      </c>
      <c r="K23" s="554">
        <f t="shared" si="7"/>
        <v>0</v>
      </c>
      <c r="L23" s="539">
        <f t="shared" si="3"/>
        <v>0</v>
      </c>
      <c r="M23" s="539">
        <f t="shared" si="4"/>
        <v>0</v>
      </c>
      <c r="N23" s="539">
        <f t="shared" si="5"/>
        <v>0</v>
      </c>
      <c r="O23" s="1481">
        <f t="shared" si="9"/>
        <v>0</v>
      </c>
      <c r="Q23" s="104">
        <v>0</v>
      </c>
      <c r="R23" s="104">
        <f t="shared" si="8"/>
        <v>0</v>
      </c>
    </row>
    <row r="24" spans="1:20" s="104" customFormat="1">
      <c r="A24" s="1676" t="str">
        <f>EF_Livestock!A19</f>
        <v>ห่าน</v>
      </c>
      <c r="B24" s="1677"/>
      <c r="C24" s="1251"/>
      <c r="D24" s="547" t="s">
        <v>1153</v>
      </c>
      <c r="F24" s="103" t="str">
        <f>EF_Livestock!B19</f>
        <v>n/a</v>
      </c>
      <c r="H24" s="535">
        <f t="shared" si="0"/>
        <v>0</v>
      </c>
      <c r="I24" s="535">
        <f t="shared" si="1"/>
        <v>0</v>
      </c>
      <c r="J24" s="535">
        <f t="shared" si="2"/>
        <v>0</v>
      </c>
      <c r="K24" s="554">
        <f t="shared" si="7"/>
        <v>0</v>
      </c>
      <c r="L24" s="539">
        <f t="shared" si="3"/>
        <v>0</v>
      </c>
      <c r="M24" s="539">
        <f t="shared" si="4"/>
        <v>0</v>
      </c>
      <c r="N24" s="539">
        <f t="shared" si="5"/>
        <v>0</v>
      </c>
      <c r="O24" s="1481">
        <f t="shared" si="9"/>
        <v>0</v>
      </c>
      <c r="Q24" s="104">
        <v>0</v>
      </c>
      <c r="R24" s="104">
        <f t="shared" si="8"/>
        <v>0</v>
      </c>
    </row>
    <row r="25" spans="1:20" s="104" customFormat="1">
      <c r="A25" s="1676" t="str">
        <f>EF_Livestock!A20</f>
        <v>นกกระทา</v>
      </c>
      <c r="B25" s="1677"/>
      <c r="C25" s="1251"/>
      <c r="D25" s="547" t="s">
        <v>1153</v>
      </c>
      <c r="F25" s="103" t="str">
        <f>EF_Livestock!B20</f>
        <v>n/a</v>
      </c>
      <c r="H25" s="535">
        <f t="shared" si="0"/>
        <v>0</v>
      </c>
      <c r="I25" s="535">
        <f t="shared" si="1"/>
        <v>0</v>
      </c>
      <c r="J25" s="535">
        <f t="shared" si="2"/>
        <v>0</v>
      </c>
      <c r="K25" s="554">
        <f t="shared" si="7"/>
        <v>0</v>
      </c>
      <c r="L25" s="539">
        <f t="shared" si="3"/>
        <v>0</v>
      </c>
      <c r="M25" s="539">
        <f t="shared" si="4"/>
        <v>0</v>
      </c>
      <c r="N25" s="539">
        <f t="shared" si="5"/>
        <v>0</v>
      </c>
      <c r="O25" s="1481">
        <f t="shared" si="9"/>
        <v>0</v>
      </c>
      <c r="Q25" s="104">
        <v>0</v>
      </c>
      <c r="R25" s="104">
        <f t="shared" si="8"/>
        <v>0</v>
      </c>
    </row>
    <row r="26" spans="1:20" s="104" customFormat="1">
      <c r="A26" s="1676" t="str">
        <f>EF_Livestock!A21</f>
        <v>นกอีมู</v>
      </c>
      <c r="B26" s="1677"/>
      <c r="C26" s="1251"/>
      <c r="D26" s="547" t="s">
        <v>1153</v>
      </c>
      <c r="F26" s="103" t="str">
        <f>EF_Livestock!B21</f>
        <v>n/a</v>
      </c>
      <c r="H26" s="535">
        <f t="shared" si="0"/>
        <v>0</v>
      </c>
      <c r="I26" s="535">
        <f t="shared" si="1"/>
        <v>0</v>
      </c>
      <c r="J26" s="535">
        <f t="shared" si="2"/>
        <v>0</v>
      </c>
      <c r="K26" s="554">
        <f t="shared" si="7"/>
        <v>0</v>
      </c>
      <c r="L26" s="539">
        <f t="shared" si="3"/>
        <v>0</v>
      </c>
      <c r="M26" s="539">
        <f t="shared" si="4"/>
        <v>0</v>
      </c>
      <c r="N26" s="539">
        <f t="shared" si="5"/>
        <v>0</v>
      </c>
      <c r="O26" s="1481">
        <f t="shared" si="9"/>
        <v>0</v>
      </c>
      <c r="Q26" s="104">
        <v>0</v>
      </c>
      <c r="R26" s="104">
        <f t="shared" si="8"/>
        <v>0</v>
      </c>
    </row>
    <row r="27" spans="1:20" s="104" customFormat="1">
      <c r="A27" s="1676" t="str">
        <f>EF_Livestock!A22</f>
        <v>นกกระจอกเทศ</v>
      </c>
      <c r="B27" s="1677"/>
      <c r="C27" s="1251"/>
      <c r="D27" s="547" t="s">
        <v>1153</v>
      </c>
      <c r="F27" s="103" t="str">
        <f>EF_Livestock!B22</f>
        <v>n/a</v>
      </c>
      <c r="H27" s="535">
        <f t="shared" si="0"/>
        <v>0</v>
      </c>
      <c r="I27" s="535">
        <f t="shared" si="1"/>
        <v>0</v>
      </c>
      <c r="J27" s="535">
        <f t="shared" si="2"/>
        <v>0</v>
      </c>
      <c r="K27" s="554">
        <f t="shared" si="7"/>
        <v>0</v>
      </c>
      <c r="L27" s="539">
        <f t="shared" si="3"/>
        <v>0</v>
      </c>
      <c r="M27" s="539">
        <f t="shared" si="4"/>
        <v>0</v>
      </c>
      <c r="N27" s="539">
        <f t="shared" si="5"/>
        <v>0</v>
      </c>
      <c r="O27" s="1481">
        <f t="shared" si="9"/>
        <v>0</v>
      </c>
      <c r="Q27" s="104">
        <v>0</v>
      </c>
      <c r="R27" s="104">
        <f t="shared" si="8"/>
        <v>0</v>
      </c>
    </row>
    <row r="28" spans="1:20" s="104" customFormat="1">
      <c r="A28" s="2214" t="s">
        <v>250</v>
      </c>
      <c r="B28" s="2215"/>
      <c r="C28" s="2215"/>
      <c r="D28" s="2215"/>
      <c r="E28" s="2215"/>
      <c r="F28" s="2215"/>
      <c r="G28" s="2215"/>
      <c r="H28" s="2215"/>
      <c r="I28" s="2215"/>
      <c r="J28" s="2215"/>
      <c r="K28" s="2215"/>
      <c r="L28" s="1668">
        <f>SUM(L11:L27)</f>
        <v>0</v>
      </c>
      <c r="M28" s="1668">
        <f>SUM(M11:M27)</f>
        <v>0</v>
      </c>
      <c r="N28" s="1668">
        <f>SUM(N11:N27)</f>
        <v>0</v>
      </c>
      <c r="O28" s="1669">
        <f>SUM(O11:O27)</f>
        <v>0</v>
      </c>
      <c r="P28" s="1339">
        <f>SUM(Q11:Q27)</f>
        <v>0</v>
      </c>
      <c r="Q28" s="1339">
        <f>SUM(R11:R27)</f>
        <v>0</v>
      </c>
    </row>
    <row r="29" spans="1:20" s="104" customFormat="1">
      <c r="A29" s="124" t="s">
        <v>1154</v>
      </c>
      <c r="B29" s="359"/>
      <c r="C29" s="1328" t="s">
        <v>2259</v>
      </c>
    </row>
    <row r="30" spans="1:20" s="104" customFormat="1" ht="14.4">
      <c r="A30" s="2204" t="s">
        <v>1150</v>
      </c>
      <c r="B30" s="2206" t="s">
        <v>2434</v>
      </c>
      <c r="C30" s="2206" t="s">
        <v>1151</v>
      </c>
      <c r="D30" s="2206" t="s">
        <v>258</v>
      </c>
      <c r="E30" s="2206" t="s">
        <v>2534</v>
      </c>
      <c r="F30" s="2206"/>
      <c r="G30" s="2206"/>
      <c r="H30" s="2206" t="s">
        <v>2473</v>
      </c>
      <c r="I30" s="2206"/>
      <c r="J30" s="2206"/>
      <c r="K30" s="2206"/>
      <c r="L30" s="2212" t="s">
        <v>2449</v>
      </c>
      <c r="M30" s="2212"/>
      <c r="N30" s="2212"/>
      <c r="O30" s="2213"/>
    </row>
    <row r="31" spans="1:20" s="103" customFormat="1" ht="36.6" customHeight="1" thickBot="1">
      <c r="A31" s="2205"/>
      <c r="B31" s="2207"/>
      <c r="C31" s="2207"/>
      <c r="D31" s="2207"/>
      <c r="E31" s="1462" t="s">
        <v>443</v>
      </c>
      <c r="F31" s="1462" t="s">
        <v>444</v>
      </c>
      <c r="G31" s="1462" t="s">
        <v>445</v>
      </c>
      <c r="H31" s="1463" t="s">
        <v>443</v>
      </c>
      <c r="I31" s="1463" t="s">
        <v>444</v>
      </c>
      <c r="J31" s="1463" t="s">
        <v>445</v>
      </c>
      <c r="K31" s="1463" t="s">
        <v>446</v>
      </c>
      <c r="L31" s="1464" t="s">
        <v>443</v>
      </c>
      <c r="M31" s="1464" t="s">
        <v>444</v>
      </c>
      <c r="N31" s="1464" t="s">
        <v>445</v>
      </c>
      <c r="O31" s="1789" t="s">
        <v>2451</v>
      </c>
      <c r="Q31" s="1465" t="s">
        <v>2290</v>
      </c>
      <c r="R31" s="1466" t="s">
        <v>2447</v>
      </c>
      <c r="S31" s="1465" t="s">
        <v>2450</v>
      </c>
      <c r="T31" s="1466" t="s">
        <v>2447</v>
      </c>
    </row>
    <row r="32" spans="1:20" s="104" customFormat="1">
      <c r="A32" s="1670" t="str">
        <f>EF_Livestock!A6</f>
        <v>โคนม</v>
      </c>
      <c r="B32" s="1673">
        <f>B11</f>
        <v>0</v>
      </c>
      <c r="C32" s="1680">
        <f>C11</f>
        <v>0</v>
      </c>
      <c r="D32" s="1671" t="s">
        <v>1153</v>
      </c>
      <c r="E32" s="1672"/>
      <c r="F32" s="1678">
        <f>EF_Livestock!E6</f>
        <v>12.58</v>
      </c>
      <c r="G32" s="1679">
        <f>EF_Livestock!AJ31</f>
        <v>0.7142331428571429</v>
      </c>
      <c r="H32" s="1629">
        <f t="shared" ref="H32:H42" si="10">IFERROR(E32*$G$8,0)</f>
        <v>0</v>
      </c>
      <c r="I32" s="1629">
        <f t="shared" ref="I32:I42" si="11">IFERROR(F32*$H$8,0)</f>
        <v>352.24</v>
      </c>
      <c r="J32" s="1629">
        <f>IFERROR(G32*$I$8,0)</f>
        <v>189.27178285714288</v>
      </c>
      <c r="K32" s="1674">
        <f>SUM(H32:J32)</f>
        <v>541.51178285714286</v>
      </c>
      <c r="L32" s="1480">
        <f t="shared" ref="L32:L48" si="12">($C32*H32)/10^3</f>
        <v>0</v>
      </c>
      <c r="M32" s="1480">
        <f t="shared" ref="M32:M48" si="13">($C32*I32)/10^3</f>
        <v>0</v>
      </c>
      <c r="N32" s="1480">
        <f t="shared" ref="N32:N48" si="14">($C32*J32)/10^3</f>
        <v>0</v>
      </c>
      <c r="O32" s="1675">
        <f>SUM(L32:N32)</f>
        <v>0</v>
      </c>
      <c r="Q32" s="104">
        <f t="shared" ref="Q32:Q38" si="15">($C32*F32)/10^3</f>
        <v>0</v>
      </c>
      <c r="R32" s="104">
        <f>Q32*28</f>
        <v>0</v>
      </c>
      <c r="S32" s="104">
        <f>($C32*G32)/10^3</f>
        <v>0</v>
      </c>
      <c r="T32" s="104">
        <f>S32*265</f>
        <v>0</v>
      </c>
    </row>
    <row r="33" spans="1:20" s="104" customFormat="1">
      <c r="A33" s="1676" t="str">
        <f>EF_Livestock!A7</f>
        <v>โคอื่นๆ</v>
      </c>
      <c r="B33" s="103">
        <f t="shared" ref="B33:B48" si="16">B12</f>
        <v>0</v>
      </c>
      <c r="C33" s="1342">
        <f t="shared" ref="C33:C48" si="17">C12</f>
        <v>0</v>
      </c>
      <c r="D33" s="547" t="s">
        <v>1153</v>
      </c>
      <c r="F33" s="555">
        <f>EF_Livestock!E7</f>
        <v>2.54</v>
      </c>
      <c r="G33" s="556">
        <f>EF_Livestock!AJ32</f>
        <v>0</v>
      </c>
      <c r="H33" s="535">
        <f t="shared" si="10"/>
        <v>0</v>
      </c>
      <c r="I33" s="535">
        <f t="shared" si="11"/>
        <v>71.12</v>
      </c>
      <c r="J33" s="535">
        <f t="shared" ref="J33:J42" si="18">IFERROR(G33*$I$8,0)</f>
        <v>0</v>
      </c>
      <c r="K33" s="554">
        <f t="shared" ref="K33:K42" si="19">SUM(H33:J33)</f>
        <v>71.12</v>
      </c>
      <c r="L33" s="539">
        <f t="shared" si="12"/>
        <v>0</v>
      </c>
      <c r="M33" s="539">
        <f t="shared" si="13"/>
        <v>0</v>
      </c>
      <c r="N33" s="539">
        <f t="shared" si="14"/>
        <v>0</v>
      </c>
      <c r="O33" s="1481">
        <f t="shared" ref="O33:O48" si="20">SUM(L33:N33)</f>
        <v>0</v>
      </c>
      <c r="Q33" s="104">
        <f t="shared" si="15"/>
        <v>0</v>
      </c>
      <c r="R33" s="104">
        <f t="shared" ref="R33:R48" si="21">Q33*28</f>
        <v>0</v>
      </c>
      <c r="S33" s="104">
        <f>($C33*G33)/10^3</f>
        <v>0</v>
      </c>
      <c r="T33" s="104">
        <f t="shared" ref="T33:T34" si="22">S33*265</f>
        <v>0</v>
      </c>
    </row>
    <row r="34" spans="1:20" s="104" customFormat="1">
      <c r="A34" s="1676" t="str">
        <f>EF_Livestock!A8</f>
        <v>กระบือ</v>
      </c>
      <c r="B34" s="103">
        <f t="shared" si="16"/>
        <v>0</v>
      </c>
      <c r="C34" s="1342">
        <f t="shared" si="17"/>
        <v>0</v>
      </c>
      <c r="D34" s="547" t="s">
        <v>1153</v>
      </c>
      <c r="F34" s="555">
        <f>EF_Livestock!E8</f>
        <v>2.12</v>
      </c>
      <c r="G34" s="556">
        <f>EF_Livestock!AJ33</f>
        <v>0</v>
      </c>
      <c r="H34" s="535">
        <f t="shared" si="10"/>
        <v>0</v>
      </c>
      <c r="I34" s="535">
        <f t="shared" si="11"/>
        <v>59.36</v>
      </c>
      <c r="J34" s="535">
        <f t="shared" si="18"/>
        <v>0</v>
      </c>
      <c r="K34" s="554">
        <f t="shared" si="19"/>
        <v>59.36</v>
      </c>
      <c r="L34" s="539">
        <f t="shared" si="12"/>
        <v>0</v>
      </c>
      <c r="M34" s="539">
        <f t="shared" si="13"/>
        <v>0</v>
      </c>
      <c r="N34" s="539">
        <f t="shared" si="14"/>
        <v>0</v>
      </c>
      <c r="O34" s="1481">
        <f t="shared" si="20"/>
        <v>0</v>
      </c>
      <c r="Q34" s="104">
        <f t="shared" si="15"/>
        <v>0</v>
      </c>
      <c r="R34" s="104">
        <f t="shared" si="21"/>
        <v>0</v>
      </c>
      <c r="S34" s="104">
        <f>($C34*G34)/10^3</f>
        <v>0</v>
      </c>
      <c r="T34" s="104">
        <f t="shared" si="22"/>
        <v>0</v>
      </c>
    </row>
    <row r="35" spans="1:20" s="104" customFormat="1">
      <c r="A35" s="1676" t="str">
        <f>EF_Livestock!A9</f>
        <v>แกะ</v>
      </c>
      <c r="B35" s="103">
        <f t="shared" si="16"/>
        <v>0</v>
      </c>
      <c r="C35" s="1342">
        <f t="shared" si="17"/>
        <v>0</v>
      </c>
      <c r="D35" s="547" t="s">
        <v>1153</v>
      </c>
      <c r="F35" s="555">
        <f>EF_Livestock!D9</f>
        <v>0.2</v>
      </c>
      <c r="G35" s="556" t="str">
        <f>EF_Livestock!AJ34</f>
        <v>n/a</v>
      </c>
      <c r="H35" s="535">
        <f t="shared" si="10"/>
        <v>0</v>
      </c>
      <c r="I35" s="535">
        <f t="shared" si="11"/>
        <v>5.6000000000000005</v>
      </c>
      <c r="J35" s="535">
        <f t="shared" si="18"/>
        <v>0</v>
      </c>
      <c r="K35" s="554">
        <f>SUM(H35:J35)</f>
        <v>5.6000000000000005</v>
      </c>
      <c r="L35" s="539">
        <f t="shared" si="12"/>
        <v>0</v>
      </c>
      <c r="M35" s="539">
        <f t="shared" si="13"/>
        <v>0</v>
      </c>
      <c r="N35" s="539">
        <f t="shared" si="14"/>
        <v>0</v>
      </c>
      <c r="O35" s="1481">
        <f t="shared" si="20"/>
        <v>0</v>
      </c>
      <c r="Q35" s="104">
        <f t="shared" si="15"/>
        <v>0</v>
      </c>
      <c r="R35" s="104">
        <f t="shared" si="21"/>
        <v>0</v>
      </c>
    </row>
    <row r="36" spans="1:20" s="104" customFormat="1">
      <c r="A36" s="1676" t="str">
        <f>EF_Livestock!A10</f>
        <v>แพะ</v>
      </c>
      <c r="B36" s="103">
        <f t="shared" si="16"/>
        <v>0</v>
      </c>
      <c r="C36" s="1342">
        <f t="shared" si="17"/>
        <v>0</v>
      </c>
      <c r="D36" s="547" t="s">
        <v>1153</v>
      </c>
      <c r="F36" s="555">
        <f>EF_Livestock!D10</f>
        <v>0.22</v>
      </c>
      <c r="G36" s="556" t="str">
        <f>EF_Livestock!AJ35</f>
        <v>n/a</v>
      </c>
      <c r="H36" s="535">
        <f t="shared" si="10"/>
        <v>0</v>
      </c>
      <c r="I36" s="535">
        <f t="shared" si="11"/>
        <v>6.16</v>
      </c>
      <c r="J36" s="535">
        <f t="shared" si="18"/>
        <v>0</v>
      </c>
      <c r="K36" s="554">
        <f t="shared" si="19"/>
        <v>6.16</v>
      </c>
      <c r="L36" s="539">
        <f t="shared" si="12"/>
        <v>0</v>
      </c>
      <c r="M36" s="539">
        <f t="shared" si="13"/>
        <v>0</v>
      </c>
      <c r="N36" s="539">
        <f t="shared" si="14"/>
        <v>0</v>
      </c>
      <c r="O36" s="1481">
        <f t="shared" si="20"/>
        <v>0</v>
      </c>
      <c r="Q36" s="104">
        <f t="shared" si="15"/>
        <v>0</v>
      </c>
      <c r="R36" s="104">
        <f t="shared" si="21"/>
        <v>0</v>
      </c>
    </row>
    <row r="37" spans="1:20" s="104" customFormat="1">
      <c r="A37" s="1676" t="str">
        <f>EF_Livestock!A11</f>
        <v>อูฐ</v>
      </c>
      <c r="B37" s="103">
        <f t="shared" si="16"/>
        <v>0</v>
      </c>
      <c r="C37" s="1342">
        <f t="shared" si="17"/>
        <v>0</v>
      </c>
      <c r="D37" s="547" t="s">
        <v>1153</v>
      </c>
      <c r="F37" s="555">
        <f>EF_Livestock!D11</f>
        <v>2.56</v>
      </c>
      <c r="G37" s="556" t="str">
        <f>EF_Livestock!AJ36</f>
        <v>n/a</v>
      </c>
      <c r="H37" s="535">
        <f t="shared" si="10"/>
        <v>0</v>
      </c>
      <c r="I37" s="535">
        <f t="shared" si="11"/>
        <v>71.680000000000007</v>
      </c>
      <c r="J37" s="535">
        <f t="shared" si="18"/>
        <v>0</v>
      </c>
      <c r="K37" s="554">
        <f t="shared" si="19"/>
        <v>71.680000000000007</v>
      </c>
      <c r="L37" s="539">
        <f t="shared" si="12"/>
        <v>0</v>
      </c>
      <c r="M37" s="539">
        <f t="shared" si="13"/>
        <v>0</v>
      </c>
      <c r="N37" s="539">
        <f t="shared" si="14"/>
        <v>0</v>
      </c>
      <c r="O37" s="1481">
        <f>SUM(L37:N37)</f>
        <v>0</v>
      </c>
      <c r="Q37" s="104">
        <f t="shared" si="15"/>
        <v>0</v>
      </c>
      <c r="R37" s="104">
        <f t="shared" si="21"/>
        <v>0</v>
      </c>
    </row>
    <row r="38" spans="1:20" s="104" customFormat="1">
      <c r="A38" s="1676" t="str">
        <f>EF_Livestock!A12</f>
        <v>ม้า</v>
      </c>
      <c r="B38" s="103">
        <f t="shared" si="16"/>
        <v>0</v>
      </c>
      <c r="C38" s="1342">
        <f t="shared" si="17"/>
        <v>0</v>
      </c>
      <c r="D38" s="547" t="s">
        <v>1153</v>
      </c>
      <c r="F38" s="555">
        <f>EF_Livestock!D12</f>
        <v>2.19</v>
      </c>
      <c r="G38" s="556" t="str">
        <f>EF_Livestock!AJ37</f>
        <v>n/a</v>
      </c>
      <c r="H38" s="535">
        <f t="shared" si="10"/>
        <v>0</v>
      </c>
      <c r="I38" s="535">
        <f t="shared" si="11"/>
        <v>61.32</v>
      </c>
      <c r="J38" s="535">
        <f t="shared" si="18"/>
        <v>0</v>
      </c>
      <c r="K38" s="554">
        <f t="shared" si="19"/>
        <v>61.32</v>
      </c>
      <c r="L38" s="539">
        <f t="shared" si="12"/>
        <v>0</v>
      </c>
      <c r="M38" s="539">
        <f t="shared" si="13"/>
        <v>0</v>
      </c>
      <c r="N38" s="539">
        <f t="shared" si="14"/>
        <v>0</v>
      </c>
      <c r="O38" s="1481">
        <f t="shared" si="20"/>
        <v>0</v>
      </c>
      <c r="Q38" s="104">
        <f t="shared" si="15"/>
        <v>0</v>
      </c>
      <c r="R38" s="104">
        <f t="shared" si="21"/>
        <v>0</v>
      </c>
    </row>
    <row r="39" spans="1:20" s="104" customFormat="1">
      <c r="A39" s="1676" t="str">
        <f>EF_Livestock!A13</f>
        <v>ล่อ ลา</v>
      </c>
      <c r="B39" s="103">
        <f t="shared" si="16"/>
        <v>0</v>
      </c>
      <c r="C39" s="1342">
        <f t="shared" si="17"/>
        <v>0</v>
      </c>
      <c r="D39" s="547" t="s">
        <v>1153</v>
      </c>
      <c r="F39" s="555" t="str">
        <f>EF_Livestock!D13</f>
        <v>n/a</v>
      </c>
      <c r="G39" s="556" t="str">
        <f>EF_Livestock!AJ38</f>
        <v>n/a</v>
      </c>
      <c r="H39" s="535">
        <f t="shared" si="10"/>
        <v>0</v>
      </c>
      <c r="I39" s="535">
        <f t="shared" si="11"/>
        <v>0</v>
      </c>
      <c r="J39" s="535">
        <f t="shared" si="18"/>
        <v>0</v>
      </c>
      <c r="K39" s="554">
        <f t="shared" si="19"/>
        <v>0</v>
      </c>
      <c r="L39" s="539">
        <f t="shared" si="12"/>
        <v>0</v>
      </c>
      <c r="M39" s="539">
        <f t="shared" si="13"/>
        <v>0</v>
      </c>
      <c r="N39" s="539">
        <f t="shared" si="14"/>
        <v>0</v>
      </c>
      <c r="O39" s="1481">
        <f t="shared" si="20"/>
        <v>0</v>
      </c>
      <c r="Q39" s="104">
        <v>0</v>
      </c>
      <c r="R39" s="104">
        <f t="shared" si="21"/>
        <v>0</v>
      </c>
    </row>
    <row r="40" spans="1:20" s="104" customFormat="1">
      <c r="A40" s="1676" t="str">
        <f>EF_Livestock!A14</f>
        <v>สุกร</v>
      </c>
      <c r="B40" s="103">
        <f t="shared" si="16"/>
        <v>0</v>
      </c>
      <c r="C40" s="1342">
        <f t="shared" si="17"/>
        <v>0</v>
      </c>
      <c r="D40" s="547" t="s">
        <v>1153</v>
      </c>
      <c r="F40" s="555">
        <f>EF_Livestock!E14</f>
        <v>2.52</v>
      </c>
      <c r="G40" s="556">
        <f>EF_Livestock!AJ39</f>
        <v>5.3629714285714281E-2</v>
      </c>
      <c r="H40" s="535">
        <f t="shared" si="10"/>
        <v>0</v>
      </c>
      <c r="I40" s="535">
        <f t="shared" si="11"/>
        <v>70.56</v>
      </c>
      <c r="J40" s="535">
        <f t="shared" si="18"/>
        <v>14.211874285714284</v>
      </c>
      <c r="K40" s="554">
        <f t="shared" si="19"/>
        <v>84.77187428571429</v>
      </c>
      <c r="L40" s="539">
        <f t="shared" si="12"/>
        <v>0</v>
      </c>
      <c r="M40" s="539">
        <f t="shared" si="13"/>
        <v>0</v>
      </c>
      <c r="N40" s="539">
        <f t="shared" si="14"/>
        <v>0</v>
      </c>
      <c r="O40" s="1481">
        <f>SUM(L40:N40)</f>
        <v>0</v>
      </c>
      <c r="Q40" s="104">
        <f>($C40*F40)/10^3</f>
        <v>0</v>
      </c>
      <c r="R40" s="104">
        <f t="shared" si="21"/>
        <v>0</v>
      </c>
      <c r="S40" s="104">
        <f>($C40*G40)/10^3</f>
        <v>0</v>
      </c>
      <c r="T40" s="104">
        <f t="shared" ref="T40" si="23">S40*265</f>
        <v>0</v>
      </c>
    </row>
    <row r="41" spans="1:20" s="104" customFormat="1">
      <c r="A41" s="1676" t="str">
        <f>EF_Livestock!A15</f>
        <v>กวาง</v>
      </c>
      <c r="B41" s="103">
        <f t="shared" si="16"/>
        <v>0</v>
      </c>
      <c r="C41" s="1342">
        <f t="shared" si="17"/>
        <v>0</v>
      </c>
      <c r="D41" s="547" t="s">
        <v>1153</v>
      </c>
      <c r="F41" s="555">
        <f>EF_Livestock!D15</f>
        <v>0.22</v>
      </c>
      <c r="G41" s="556" t="str">
        <f>EF_Livestock!AJ40</f>
        <v>n/a</v>
      </c>
      <c r="H41" s="535">
        <f t="shared" si="10"/>
        <v>0</v>
      </c>
      <c r="I41" s="535">
        <f t="shared" si="11"/>
        <v>6.16</v>
      </c>
      <c r="J41" s="535">
        <f t="shared" si="18"/>
        <v>0</v>
      </c>
      <c r="K41" s="554">
        <f t="shared" si="19"/>
        <v>6.16</v>
      </c>
      <c r="L41" s="539">
        <f t="shared" si="12"/>
        <v>0</v>
      </c>
      <c r="M41" s="539">
        <f t="shared" si="13"/>
        <v>0</v>
      </c>
      <c r="N41" s="539">
        <f t="shared" si="14"/>
        <v>0</v>
      </c>
      <c r="O41" s="1481">
        <f t="shared" si="20"/>
        <v>0</v>
      </c>
      <c r="Q41" s="104">
        <f>($C41*F41)/10^3</f>
        <v>0</v>
      </c>
      <c r="R41" s="104">
        <f t="shared" si="21"/>
        <v>0</v>
      </c>
    </row>
    <row r="42" spans="1:20" s="104" customFormat="1">
      <c r="A42" s="1676" t="str">
        <f>EF_Livestock!A16</f>
        <v>ช้าง</v>
      </c>
      <c r="B42" s="103">
        <f t="shared" si="16"/>
        <v>0</v>
      </c>
      <c r="C42" s="1342">
        <f t="shared" si="17"/>
        <v>0</v>
      </c>
      <c r="D42" s="547" t="s">
        <v>1153</v>
      </c>
      <c r="F42" s="555" t="str">
        <f>EF_Livestock!E16</f>
        <v>n/a</v>
      </c>
      <c r="G42" s="556" t="str">
        <f>EF_Livestock!AJ41</f>
        <v>n/a</v>
      </c>
      <c r="H42" s="535">
        <f t="shared" si="10"/>
        <v>0</v>
      </c>
      <c r="I42" s="535">
        <f t="shared" si="11"/>
        <v>0</v>
      </c>
      <c r="J42" s="535">
        <f t="shared" si="18"/>
        <v>0</v>
      </c>
      <c r="K42" s="554">
        <f t="shared" si="19"/>
        <v>0</v>
      </c>
      <c r="L42" s="539">
        <f t="shared" si="12"/>
        <v>0</v>
      </c>
      <c r="M42" s="539">
        <f t="shared" si="13"/>
        <v>0</v>
      </c>
      <c r="N42" s="539">
        <f t="shared" si="14"/>
        <v>0</v>
      </c>
      <c r="O42" s="1481">
        <f t="shared" si="20"/>
        <v>0</v>
      </c>
      <c r="Q42" s="104">
        <v>0</v>
      </c>
      <c r="R42" s="104">
        <f t="shared" si="21"/>
        <v>0</v>
      </c>
    </row>
    <row r="43" spans="1:20" s="104" customFormat="1">
      <c r="A43" s="1676" t="str">
        <f>EF_Livestock!A17</f>
        <v>ไก่</v>
      </c>
      <c r="B43" s="103">
        <f t="shared" si="16"/>
        <v>0</v>
      </c>
      <c r="C43" s="1342">
        <f t="shared" si="17"/>
        <v>0</v>
      </c>
      <c r="D43" s="547" t="s">
        <v>1153</v>
      </c>
      <c r="F43" s="555">
        <f>EF_Livestock!E17</f>
        <v>2.3E-2</v>
      </c>
      <c r="G43" s="556">
        <f>EF_Livestock!AJ43</f>
        <v>0</v>
      </c>
      <c r="H43" s="535">
        <f t="shared" ref="H43:H48" si="24">IFERROR(E43*$G$8,0)</f>
        <v>0</v>
      </c>
      <c r="I43" s="535">
        <f t="shared" ref="I43:I48" si="25">IFERROR(F43*$H$8,0)</f>
        <v>0.64400000000000002</v>
      </c>
      <c r="J43" s="535">
        <f t="shared" ref="J43:J48" si="26">IFERROR(G43*$I$8,0)</f>
        <v>0</v>
      </c>
      <c r="K43" s="554">
        <f t="shared" ref="K43:K48" si="27">SUM(H43:J43)</f>
        <v>0.64400000000000002</v>
      </c>
      <c r="L43" s="539">
        <f t="shared" si="12"/>
        <v>0</v>
      </c>
      <c r="M43" s="539">
        <f t="shared" si="13"/>
        <v>0</v>
      </c>
      <c r="N43" s="539">
        <f t="shared" si="14"/>
        <v>0</v>
      </c>
      <c r="O43" s="1481">
        <f t="shared" si="20"/>
        <v>0</v>
      </c>
      <c r="Q43" s="104">
        <f>($C43*F43)/10^3</f>
        <v>0</v>
      </c>
      <c r="R43" s="104">
        <f t="shared" si="21"/>
        <v>0</v>
      </c>
      <c r="S43" s="104">
        <f>($C43*G43)/10^3</f>
        <v>0</v>
      </c>
      <c r="T43" s="104">
        <f t="shared" ref="T43:T46" si="28">S43*265</f>
        <v>0</v>
      </c>
    </row>
    <row r="44" spans="1:20" s="104" customFormat="1">
      <c r="A44" s="1676" t="str">
        <f>EF_Livestock!A18</f>
        <v>เป็ด</v>
      </c>
      <c r="B44" s="103">
        <f t="shared" si="16"/>
        <v>0</v>
      </c>
      <c r="C44" s="1342">
        <f t="shared" si="17"/>
        <v>0</v>
      </c>
      <c r="D44" s="547" t="s">
        <v>1153</v>
      </c>
      <c r="F44" s="555">
        <f>EF_Livestock!E18</f>
        <v>2.3E-2</v>
      </c>
      <c r="G44" s="556">
        <f>EF_Livestock!AJ44</f>
        <v>0</v>
      </c>
      <c r="H44" s="535">
        <f t="shared" si="24"/>
        <v>0</v>
      </c>
      <c r="I44" s="535">
        <f t="shared" si="25"/>
        <v>0.64400000000000002</v>
      </c>
      <c r="J44" s="535">
        <f t="shared" si="26"/>
        <v>0</v>
      </c>
      <c r="K44" s="554">
        <f>SUM(H44:J44)</f>
        <v>0.64400000000000002</v>
      </c>
      <c r="L44" s="539">
        <f t="shared" si="12"/>
        <v>0</v>
      </c>
      <c r="M44" s="539">
        <f t="shared" si="13"/>
        <v>0</v>
      </c>
      <c r="N44" s="539">
        <f t="shared" si="14"/>
        <v>0</v>
      </c>
      <c r="O44" s="1481">
        <f t="shared" si="20"/>
        <v>0</v>
      </c>
      <c r="Q44" s="104">
        <f>($C44*F44)/10^3</f>
        <v>0</v>
      </c>
      <c r="R44" s="104">
        <f t="shared" si="21"/>
        <v>0</v>
      </c>
      <c r="S44" s="104">
        <f>($C44*G44)/10^3</f>
        <v>0</v>
      </c>
      <c r="T44" s="104">
        <f t="shared" si="28"/>
        <v>0</v>
      </c>
    </row>
    <row r="45" spans="1:20" s="104" customFormat="1">
      <c r="A45" s="1676" t="str">
        <f>EF_Livestock!A19</f>
        <v>ห่าน</v>
      </c>
      <c r="B45" s="103">
        <f t="shared" si="16"/>
        <v>0</v>
      </c>
      <c r="C45" s="1342">
        <f t="shared" si="17"/>
        <v>0</v>
      </c>
      <c r="D45" s="547" t="s">
        <v>1153</v>
      </c>
      <c r="F45" s="555">
        <f>EF_Livestock!E19</f>
        <v>2.3E-2</v>
      </c>
      <c r="G45" s="556">
        <f>EF_Livestock!AJ45</f>
        <v>0</v>
      </c>
      <c r="H45" s="535">
        <f t="shared" si="24"/>
        <v>0</v>
      </c>
      <c r="I45" s="535">
        <f t="shared" si="25"/>
        <v>0.64400000000000002</v>
      </c>
      <c r="J45" s="535">
        <f t="shared" si="26"/>
        <v>0</v>
      </c>
      <c r="K45" s="554">
        <f t="shared" si="27"/>
        <v>0.64400000000000002</v>
      </c>
      <c r="L45" s="539">
        <f t="shared" si="12"/>
        <v>0</v>
      </c>
      <c r="M45" s="539">
        <f t="shared" si="13"/>
        <v>0</v>
      </c>
      <c r="N45" s="539">
        <f t="shared" si="14"/>
        <v>0</v>
      </c>
      <c r="O45" s="1481">
        <f t="shared" si="20"/>
        <v>0</v>
      </c>
      <c r="Q45" s="104">
        <f>($C45*F45)/10^3</f>
        <v>0</v>
      </c>
      <c r="R45" s="104">
        <f t="shared" si="21"/>
        <v>0</v>
      </c>
      <c r="S45" s="104">
        <f>($C45*G45)/10^3</f>
        <v>0</v>
      </c>
      <c r="T45" s="104">
        <f t="shared" si="28"/>
        <v>0</v>
      </c>
    </row>
    <row r="46" spans="1:20" s="104" customFormat="1">
      <c r="A46" s="1676" t="str">
        <f>EF_Livestock!A20</f>
        <v>นกกระทา</v>
      </c>
      <c r="B46" s="103">
        <f t="shared" si="16"/>
        <v>0</v>
      </c>
      <c r="C46" s="1342">
        <f t="shared" si="17"/>
        <v>0</v>
      </c>
      <c r="D46" s="547" t="s">
        <v>1153</v>
      </c>
      <c r="F46" s="555">
        <f>EF_Livestock!E20</f>
        <v>2.3E-2</v>
      </c>
      <c r="G46" s="556">
        <f>EF_Livestock!AJ46</f>
        <v>0</v>
      </c>
      <c r="H46" s="535">
        <f t="shared" si="24"/>
        <v>0</v>
      </c>
      <c r="I46" s="535">
        <f t="shared" si="25"/>
        <v>0.64400000000000002</v>
      </c>
      <c r="J46" s="535">
        <f t="shared" si="26"/>
        <v>0</v>
      </c>
      <c r="K46" s="554">
        <f t="shared" si="27"/>
        <v>0.64400000000000002</v>
      </c>
      <c r="L46" s="539">
        <f t="shared" si="12"/>
        <v>0</v>
      </c>
      <c r="M46" s="539">
        <f t="shared" si="13"/>
        <v>0</v>
      </c>
      <c r="N46" s="539">
        <f t="shared" si="14"/>
        <v>0</v>
      </c>
      <c r="O46" s="1481">
        <f t="shared" si="20"/>
        <v>0</v>
      </c>
      <c r="Q46" s="104">
        <f>($C46*F46)/10^3</f>
        <v>0</v>
      </c>
      <c r="R46" s="104">
        <f t="shared" si="21"/>
        <v>0</v>
      </c>
      <c r="S46" s="104">
        <f>($C46*G46)/10^3</f>
        <v>0</v>
      </c>
      <c r="T46" s="104">
        <f t="shared" si="28"/>
        <v>0</v>
      </c>
    </row>
    <row r="47" spans="1:20" s="110" customFormat="1">
      <c r="A47" s="1676" t="str">
        <f>EF_Livestock!A21</f>
        <v>นกอีมู</v>
      </c>
      <c r="B47" s="103">
        <f t="shared" si="16"/>
        <v>0</v>
      </c>
      <c r="C47" s="1342">
        <f t="shared" si="17"/>
        <v>0</v>
      </c>
      <c r="D47" s="547" t="s">
        <v>1153</v>
      </c>
      <c r="E47" s="104"/>
      <c r="F47" s="555" t="str">
        <f>EF_Livestock!E21</f>
        <v>n/a</v>
      </c>
      <c r="G47" s="556" t="str">
        <f>EF_Livestock!AJ47</f>
        <v>n/a</v>
      </c>
      <c r="H47" s="535">
        <f t="shared" si="24"/>
        <v>0</v>
      </c>
      <c r="I47" s="535">
        <f t="shared" si="25"/>
        <v>0</v>
      </c>
      <c r="J47" s="535">
        <f t="shared" si="26"/>
        <v>0</v>
      </c>
      <c r="K47" s="554">
        <f t="shared" si="27"/>
        <v>0</v>
      </c>
      <c r="L47" s="539">
        <f t="shared" si="12"/>
        <v>0</v>
      </c>
      <c r="M47" s="539">
        <f t="shared" si="13"/>
        <v>0</v>
      </c>
      <c r="N47" s="539">
        <f t="shared" si="14"/>
        <v>0</v>
      </c>
      <c r="O47" s="1481">
        <f t="shared" si="20"/>
        <v>0</v>
      </c>
      <c r="Q47" s="104">
        <v>0</v>
      </c>
      <c r="R47" s="104">
        <f t="shared" si="21"/>
        <v>0</v>
      </c>
      <c r="S47" s="104"/>
      <c r="T47" s="104"/>
    </row>
    <row r="48" spans="1:20" s="104" customFormat="1">
      <c r="A48" s="1676" t="str">
        <f>EF_Livestock!A22</f>
        <v>นกกระจอกเทศ</v>
      </c>
      <c r="B48" s="103">
        <f t="shared" si="16"/>
        <v>0</v>
      </c>
      <c r="C48" s="1342">
        <f t="shared" si="17"/>
        <v>0</v>
      </c>
      <c r="D48" s="547" t="s">
        <v>1153</v>
      </c>
      <c r="F48" s="555" t="str">
        <f>EF_Livestock!E22</f>
        <v>n/a</v>
      </c>
      <c r="G48" s="556" t="str">
        <f>EF_Livestock!AJ48</f>
        <v>n/a</v>
      </c>
      <c r="H48" s="535">
        <f t="shared" si="24"/>
        <v>0</v>
      </c>
      <c r="I48" s="535">
        <f t="shared" si="25"/>
        <v>0</v>
      </c>
      <c r="J48" s="535">
        <f t="shared" si="26"/>
        <v>0</v>
      </c>
      <c r="K48" s="554">
        <f t="shared" si="27"/>
        <v>0</v>
      </c>
      <c r="L48" s="539">
        <f t="shared" si="12"/>
        <v>0</v>
      </c>
      <c r="M48" s="539">
        <f t="shared" si="13"/>
        <v>0</v>
      </c>
      <c r="N48" s="539">
        <f t="shared" si="14"/>
        <v>0</v>
      </c>
      <c r="O48" s="1481">
        <f t="shared" si="20"/>
        <v>0</v>
      </c>
      <c r="Q48" s="104">
        <v>0</v>
      </c>
      <c r="R48" s="104">
        <f t="shared" si="21"/>
        <v>0</v>
      </c>
    </row>
    <row r="49" spans="1:19" s="104" customFormat="1">
      <c r="A49" s="2214" t="s">
        <v>250</v>
      </c>
      <c r="B49" s="2215"/>
      <c r="C49" s="2215"/>
      <c r="D49" s="2215"/>
      <c r="E49" s="2215"/>
      <c r="F49" s="2215"/>
      <c r="G49" s="2215"/>
      <c r="H49" s="2215"/>
      <c r="I49" s="2215"/>
      <c r="J49" s="2215"/>
      <c r="K49" s="2215"/>
      <c r="L49" s="1668">
        <f>SUM(L32:L48)</f>
        <v>0</v>
      </c>
      <c r="M49" s="1668">
        <f>SUM(M32:M48)</f>
        <v>0</v>
      </c>
      <c r="N49" s="1668">
        <f>SUM(N32:N48)</f>
        <v>0</v>
      </c>
      <c r="O49" s="1669">
        <f>SUM(O32:O48)</f>
        <v>0</v>
      </c>
      <c r="P49" s="1340">
        <f>SUM(Q32:Q48)</f>
        <v>0</v>
      </c>
      <c r="Q49" s="1340">
        <f>SUM(R32:R48)</f>
        <v>0</v>
      </c>
      <c r="R49" s="1340">
        <f>SUM(S32:S48)</f>
        <v>0</v>
      </c>
      <c r="S49" s="1340">
        <f>SUM(T32:T48)</f>
        <v>0</v>
      </c>
    </row>
    <row r="50" spans="1:19" s="104" customFormat="1">
      <c r="A50" s="360"/>
      <c r="B50" s="1342"/>
      <c r="C50" s="547"/>
      <c r="E50" s="555"/>
      <c r="F50" s="556"/>
      <c r="G50" s="535"/>
      <c r="H50" s="535"/>
      <c r="I50" s="535"/>
      <c r="J50" s="554"/>
      <c r="K50" s="539"/>
      <c r="L50" s="539"/>
      <c r="M50" s="539"/>
      <c r="N50" s="1341"/>
    </row>
    <row r="51" spans="1:19" s="104" customFormat="1">
      <c r="A51" s="360"/>
      <c r="B51" s="1342"/>
      <c r="C51" s="547"/>
      <c r="E51" s="555"/>
      <c r="F51" s="556"/>
      <c r="G51" s="535"/>
      <c r="H51" s="535"/>
      <c r="I51" s="535"/>
      <c r="J51" s="554"/>
      <c r="K51" s="539"/>
      <c r="L51" s="539"/>
      <c r="M51" s="539"/>
      <c r="N51" s="1341"/>
    </row>
    <row r="52" spans="1:19" s="104" customFormat="1">
      <c r="A52" s="360"/>
      <c r="B52" s="1342"/>
      <c r="C52" s="547"/>
      <c r="E52" s="555"/>
      <c r="F52" s="556"/>
      <c r="G52" s="535"/>
      <c r="H52" s="535"/>
      <c r="I52" s="535"/>
      <c r="J52" s="554"/>
      <c r="K52" s="539"/>
      <c r="L52" s="539"/>
      <c r="M52" s="539"/>
      <c r="N52" s="1341"/>
    </row>
    <row r="53" spans="1:19" ht="13.8" thickBot="1">
      <c r="A53" s="1328" t="s">
        <v>2260</v>
      </c>
    </row>
    <row r="54" spans="1:19">
      <c r="A54" s="2208" t="s">
        <v>2111</v>
      </c>
      <c r="B54" s="2210" t="s">
        <v>2112</v>
      </c>
      <c r="C54" s="2210"/>
      <c r="D54" s="2210" t="s">
        <v>2113</v>
      </c>
      <c r="E54" s="2210"/>
      <c r="F54" s="2210" t="s">
        <v>2114</v>
      </c>
      <c r="G54" s="2210"/>
      <c r="H54" s="2210" t="s">
        <v>2121</v>
      </c>
      <c r="I54" s="2210"/>
      <c r="J54" s="2210" t="s">
        <v>2115</v>
      </c>
      <c r="K54" s="2210"/>
      <c r="L54" s="2210" t="s">
        <v>2122</v>
      </c>
      <c r="M54" s="2210"/>
      <c r="N54" s="2210" t="s">
        <v>2123</v>
      </c>
      <c r="O54" s="2210"/>
      <c r="P54" s="2210" t="s">
        <v>2124</v>
      </c>
      <c r="Q54" s="2223"/>
    </row>
    <row r="55" spans="1:19">
      <c r="A55" s="2209"/>
      <c r="B55" s="2211" t="s">
        <v>2116</v>
      </c>
      <c r="C55" s="2211"/>
      <c r="D55" s="2211" t="s">
        <v>2134</v>
      </c>
      <c r="E55" s="2211"/>
      <c r="F55" s="2211" t="s">
        <v>309</v>
      </c>
      <c r="G55" s="2211"/>
      <c r="H55" s="2211" t="s">
        <v>2135</v>
      </c>
      <c r="I55" s="2211"/>
      <c r="J55" s="2211" t="s">
        <v>1358</v>
      </c>
      <c r="K55" s="2211"/>
      <c r="L55" s="2211" t="s">
        <v>2125</v>
      </c>
      <c r="M55" s="2211"/>
      <c r="N55" s="2211" t="s">
        <v>2136</v>
      </c>
      <c r="O55" s="2211"/>
      <c r="P55" s="2211" t="s">
        <v>2126</v>
      </c>
      <c r="Q55" s="2224"/>
    </row>
    <row r="56" spans="1:19" ht="13.35" customHeight="1" thickBot="1">
      <c r="A56" s="2209"/>
      <c r="B56" s="2217"/>
      <c r="C56" s="2217"/>
      <c r="D56" s="2217" t="s">
        <v>2117</v>
      </c>
      <c r="E56" s="2217"/>
      <c r="F56" s="2217" t="s">
        <v>2118</v>
      </c>
      <c r="G56" s="2217"/>
      <c r="H56" s="2217" t="s">
        <v>2127</v>
      </c>
      <c r="I56" s="2217"/>
      <c r="J56" s="2217" t="s">
        <v>2119</v>
      </c>
      <c r="K56" s="2217"/>
      <c r="L56" s="2217" t="s">
        <v>2137</v>
      </c>
      <c r="M56" s="2217"/>
      <c r="N56" s="2217" t="s">
        <v>2120</v>
      </c>
      <c r="O56" s="2217"/>
      <c r="P56" s="2217" t="s">
        <v>2138</v>
      </c>
      <c r="Q56" s="2225"/>
    </row>
    <row r="57" spans="1:19" ht="14.4" thickBot="1">
      <c r="A57" s="1309" t="s">
        <v>1336</v>
      </c>
      <c r="B57" s="2217" t="s">
        <v>2139</v>
      </c>
      <c r="C57" s="2217"/>
      <c r="D57" s="2217" t="s">
        <v>2140</v>
      </c>
      <c r="E57" s="2217"/>
      <c r="F57" s="2217" t="s">
        <v>1896</v>
      </c>
      <c r="G57" s="2217"/>
      <c r="H57" s="2217" t="s">
        <v>2141</v>
      </c>
      <c r="I57" s="2217"/>
      <c r="J57" s="2217" t="s">
        <v>2142</v>
      </c>
      <c r="K57" s="2217"/>
      <c r="L57" s="2217" t="s">
        <v>2143</v>
      </c>
      <c r="M57" s="2217"/>
      <c r="N57" s="2217" t="s">
        <v>2144</v>
      </c>
      <c r="O57" s="2217"/>
      <c r="P57" s="2217" t="s">
        <v>2145</v>
      </c>
      <c r="Q57" s="2225"/>
    </row>
    <row r="58" spans="1:19">
      <c r="A58" s="1308" t="s">
        <v>1851</v>
      </c>
      <c r="B58" s="2218">
        <f t="shared" ref="B58:B66" si="29">C32</f>
        <v>0</v>
      </c>
      <c r="C58" s="2219"/>
      <c r="D58" s="2219">
        <f>EF_Livestock!C31</f>
        <v>0.47</v>
      </c>
      <c r="E58" s="2219"/>
      <c r="F58" s="2219">
        <f>EF_Livestock!D31</f>
        <v>350</v>
      </c>
      <c r="G58" s="2219"/>
      <c r="H58" s="2219">
        <f>EF_Livestock!E31</f>
        <v>60.042500000000004</v>
      </c>
      <c r="I58" s="2219"/>
      <c r="J58" s="2219"/>
      <c r="K58" s="2219"/>
      <c r="L58" s="2219"/>
      <c r="M58" s="2219"/>
      <c r="N58" s="2219"/>
      <c r="O58" s="2219"/>
      <c r="P58" s="2219">
        <f>L58*N58*44/28</f>
        <v>0</v>
      </c>
      <c r="Q58" s="2226"/>
    </row>
    <row r="59" spans="1:19">
      <c r="A59" s="1306" t="s">
        <v>1852</v>
      </c>
      <c r="B59" s="2218">
        <f t="shared" si="29"/>
        <v>0</v>
      </c>
      <c r="C59" s="2219"/>
      <c r="D59" s="2219">
        <f>EF_Livestock!C32</f>
        <v>0.34</v>
      </c>
      <c r="E59" s="2219"/>
      <c r="F59" s="2219">
        <f>EF_Livestock!D32</f>
        <v>319</v>
      </c>
      <c r="G59" s="2219"/>
      <c r="H59" s="2219">
        <f>EF_Livestock!E32</f>
        <v>39.587900000000005</v>
      </c>
      <c r="I59" s="2219"/>
      <c r="J59" s="2221"/>
      <c r="K59" s="2221"/>
      <c r="L59" s="2221"/>
      <c r="M59" s="2221"/>
      <c r="N59" s="2221"/>
      <c r="O59" s="2221"/>
      <c r="P59" s="2219">
        <f t="shared" ref="P59:P68" si="30">L59*N59*44/28</f>
        <v>0</v>
      </c>
      <c r="Q59" s="2226"/>
    </row>
    <row r="60" spans="1:19">
      <c r="A60" s="1306" t="s">
        <v>1853</v>
      </c>
      <c r="B60" s="2218">
        <f t="shared" si="29"/>
        <v>0</v>
      </c>
      <c r="C60" s="2219"/>
      <c r="D60" s="2219">
        <f>EF_Livestock!C33</f>
        <v>0.32</v>
      </c>
      <c r="E60" s="2219"/>
      <c r="F60" s="2219">
        <f>EF_Livestock!D33</f>
        <v>380</v>
      </c>
      <c r="G60" s="2219"/>
      <c r="H60" s="2219">
        <f>EF_Livestock!E33</f>
        <v>44.384000000000007</v>
      </c>
      <c r="I60" s="2219"/>
      <c r="J60" s="2221"/>
      <c r="K60" s="2221"/>
      <c r="L60" s="2221"/>
      <c r="M60" s="2221"/>
      <c r="N60" s="2221"/>
      <c r="O60" s="2221"/>
      <c r="P60" s="2219">
        <f>L60*N60*44/28</f>
        <v>0</v>
      </c>
      <c r="Q60" s="2226"/>
    </row>
    <row r="61" spans="1:19">
      <c r="A61" s="1306" t="s">
        <v>1854</v>
      </c>
      <c r="B61" s="2218">
        <f t="shared" si="29"/>
        <v>0</v>
      </c>
      <c r="C61" s="2219"/>
      <c r="D61" s="2219">
        <f>EF_Livestock!C34</f>
        <v>1.17</v>
      </c>
      <c r="E61" s="2219"/>
      <c r="F61" s="2219">
        <f>EF_Livestock!D34</f>
        <v>28</v>
      </c>
      <c r="G61" s="2219"/>
      <c r="H61" s="2219">
        <f>EF_Livestock!E34</f>
        <v>11.9574</v>
      </c>
      <c r="I61" s="2219"/>
      <c r="J61" s="2221"/>
      <c r="K61" s="2221"/>
      <c r="L61" s="2221"/>
      <c r="M61" s="2221"/>
      <c r="N61" s="2221"/>
      <c r="O61" s="2221"/>
      <c r="P61" s="2219">
        <f>L61*N61*44/28</f>
        <v>0</v>
      </c>
      <c r="Q61" s="2226"/>
    </row>
    <row r="62" spans="1:19">
      <c r="A62" s="1306" t="s">
        <v>1856</v>
      </c>
      <c r="B62" s="2218">
        <f t="shared" si="29"/>
        <v>0</v>
      </c>
      <c r="C62" s="2219"/>
      <c r="D62" s="2219">
        <f>EF_Livestock!C35</f>
        <v>1.37</v>
      </c>
      <c r="E62" s="2219"/>
      <c r="F62" s="2219">
        <f>EF_Livestock!D35</f>
        <v>30</v>
      </c>
      <c r="G62" s="2219"/>
      <c r="H62" s="2219">
        <f>EF_Livestock!E35</f>
        <v>15.001500000000002</v>
      </c>
      <c r="I62" s="2219"/>
      <c r="J62" s="2221"/>
      <c r="K62" s="2221"/>
      <c r="L62" s="2221"/>
      <c r="M62" s="2221"/>
      <c r="N62" s="2221"/>
      <c r="O62" s="2221"/>
      <c r="P62" s="2219">
        <f t="shared" si="30"/>
        <v>0</v>
      </c>
      <c r="Q62" s="2226"/>
    </row>
    <row r="63" spans="1:19">
      <c r="A63" s="1306" t="s">
        <v>1857</v>
      </c>
      <c r="B63" s="2218">
        <f t="shared" si="29"/>
        <v>0</v>
      </c>
      <c r="C63" s="2219"/>
      <c r="D63" s="2219">
        <f>EF_Livestock!C36</f>
        <v>0.46</v>
      </c>
      <c r="E63" s="2219"/>
      <c r="F63" s="2219">
        <f>EF_Livestock!D36</f>
        <v>217</v>
      </c>
      <c r="G63" s="2219"/>
      <c r="H63" s="2219">
        <f>EF_Livestock!E36</f>
        <v>36.4343</v>
      </c>
      <c r="I63" s="2219"/>
      <c r="J63" s="2221"/>
      <c r="K63" s="2221"/>
      <c r="L63" s="2221"/>
      <c r="M63" s="2221"/>
      <c r="N63" s="2221"/>
      <c r="O63" s="2221"/>
      <c r="P63" s="2219">
        <f t="shared" si="30"/>
        <v>0</v>
      </c>
      <c r="Q63" s="2226"/>
    </row>
    <row r="64" spans="1:19">
      <c r="A64" s="1306" t="s">
        <v>1858</v>
      </c>
      <c r="B64" s="2218">
        <f t="shared" si="29"/>
        <v>0</v>
      </c>
      <c r="C64" s="2219"/>
      <c r="D64" s="2219">
        <f>EF_Livestock!C37</f>
        <v>0.46</v>
      </c>
      <c r="E64" s="2219"/>
      <c r="F64" s="2219">
        <f>EF_Livestock!D37</f>
        <v>238</v>
      </c>
      <c r="G64" s="2219"/>
      <c r="H64" s="2219">
        <f>EF_Livestock!E37</f>
        <v>39.9602</v>
      </c>
      <c r="I64" s="2219"/>
      <c r="J64" s="2221"/>
      <c r="K64" s="2221"/>
      <c r="L64" s="2221"/>
      <c r="M64" s="2221"/>
      <c r="N64" s="2221"/>
      <c r="O64" s="2221"/>
      <c r="P64" s="2219">
        <f t="shared" si="30"/>
        <v>0</v>
      </c>
      <c r="Q64" s="2226"/>
    </row>
    <row r="65" spans="1:17">
      <c r="A65" s="1306" t="s">
        <v>1859</v>
      </c>
      <c r="B65" s="2218">
        <f t="shared" si="29"/>
        <v>0</v>
      </c>
      <c r="C65" s="2219"/>
      <c r="D65" s="2219" t="str">
        <f>EF_Livestock!C38</f>
        <v>n/a</v>
      </c>
      <c r="E65" s="2219"/>
      <c r="F65" s="2219" t="str">
        <f>EF_Livestock!D38</f>
        <v>n/a</v>
      </c>
      <c r="G65" s="2219"/>
      <c r="H65" s="2219" t="str">
        <f>EF_Livestock!E38</f>
        <v>n/a</v>
      </c>
      <c r="I65" s="2219"/>
      <c r="J65" s="2221"/>
      <c r="K65" s="2221"/>
      <c r="L65" s="2221"/>
      <c r="M65" s="2221"/>
      <c r="N65" s="2221"/>
      <c r="O65" s="2221"/>
      <c r="P65" s="2219">
        <f t="shared" si="30"/>
        <v>0</v>
      </c>
      <c r="Q65" s="2226"/>
    </row>
    <row r="66" spans="1:17">
      <c r="A66" s="1306" t="s">
        <v>1860</v>
      </c>
      <c r="B66" s="2218">
        <f t="shared" si="29"/>
        <v>0</v>
      </c>
      <c r="C66" s="2219"/>
      <c r="D66" s="2219">
        <f>EF_Livestock!C39</f>
        <v>0.5</v>
      </c>
      <c r="E66" s="2219"/>
      <c r="F66" s="2221">
        <f>EF_Livestock!D39</f>
        <v>28</v>
      </c>
      <c r="G66" s="2221"/>
      <c r="H66" s="2221">
        <f>EF_Livestock!E39</f>
        <v>5.1100000000000003</v>
      </c>
      <c r="I66" s="2221"/>
      <c r="J66" s="2221"/>
      <c r="K66" s="2221"/>
      <c r="L66" s="2221"/>
      <c r="M66" s="2221"/>
      <c r="N66" s="2221"/>
      <c r="O66" s="2221"/>
      <c r="P66" s="2219">
        <f t="shared" si="30"/>
        <v>0</v>
      </c>
      <c r="Q66" s="2226"/>
    </row>
    <row r="67" spans="1:17">
      <c r="A67" s="1306" t="s">
        <v>2133</v>
      </c>
      <c r="B67" s="2220">
        <f>SUM(C43:C48)</f>
        <v>0</v>
      </c>
      <c r="C67" s="2221"/>
      <c r="D67" s="2219">
        <f>EF_Livestock!C43</f>
        <v>0.82</v>
      </c>
      <c r="E67" s="2219"/>
      <c r="F67" s="2221">
        <f>EF_Livestock!D43</f>
        <v>1.8</v>
      </c>
      <c r="G67" s="2221"/>
      <c r="H67" s="2221">
        <f>EF_Livestock!E43</f>
        <v>0.53874</v>
      </c>
      <c r="I67" s="2221"/>
      <c r="J67" s="2221"/>
      <c r="K67" s="2221"/>
      <c r="L67" s="2221"/>
      <c r="M67" s="2221"/>
      <c r="N67" s="2221"/>
      <c r="O67" s="2221"/>
      <c r="P67" s="2219">
        <f t="shared" si="30"/>
        <v>0</v>
      </c>
      <c r="Q67" s="2226"/>
    </row>
    <row r="68" spans="1:17" ht="14.4">
      <c r="A68" s="1306" t="s">
        <v>2128</v>
      </c>
      <c r="B68" s="2221"/>
      <c r="C68" s="2221"/>
      <c r="D68" s="2221"/>
      <c r="E68" s="2221"/>
      <c r="F68" s="2221"/>
      <c r="G68" s="2221"/>
      <c r="H68" s="2221"/>
      <c r="I68" s="2221"/>
      <c r="J68" s="2221"/>
      <c r="K68" s="2221"/>
      <c r="L68" s="2221"/>
      <c r="M68" s="2221"/>
      <c r="N68" s="2221"/>
      <c r="O68" s="2221"/>
      <c r="P68" s="2219">
        <f t="shared" si="30"/>
        <v>0</v>
      </c>
      <c r="Q68" s="2226"/>
    </row>
    <row r="69" spans="1:17" ht="13.8" thickBot="1">
      <c r="A69" s="1307" t="s">
        <v>250</v>
      </c>
      <c r="B69" s="2222"/>
      <c r="C69" s="2222"/>
      <c r="D69" s="2222"/>
      <c r="E69" s="2222"/>
      <c r="F69" s="2222"/>
      <c r="G69" s="2222"/>
      <c r="H69" s="2222"/>
      <c r="I69" s="2222"/>
      <c r="J69" s="2222"/>
      <c r="K69" s="2222"/>
      <c r="L69" s="2222"/>
      <c r="M69" s="2222"/>
      <c r="N69" s="2222"/>
      <c r="O69" s="2222"/>
      <c r="P69" s="2222"/>
      <c r="Q69" s="2227"/>
    </row>
    <row r="70" spans="1:17" ht="14.4">
      <c r="A70" s="2216" t="s">
        <v>2129</v>
      </c>
      <c r="B70" s="2216"/>
      <c r="C70" s="2216"/>
      <c r="D70" s="2216"/>
      <c r="E70" s="2216"/>
      <c r="F70" s="2216"/>
      <c r="G70" s="2216"/>
      <c r="H70" s="2216"/>
      <c r="I70" s="2216"/>
      <c r="J70" s="2216"/>
    </row>
    <row r="71" spans="1:17" ht="14.4">
      <c r="A71" s="2216" t="s">
        <v>2130</v>
      </c>
      <c r="B71" s="2216"/>
      <c r="C71" s="2216"/>
      <c r="D71" s="2216"/>
      <c r="E71" s="2216"/>
      <c r="F71" s="2216"/>
      <c r="G71" s="2216"/>
      <c r="H71" s="2216"/>
      <c r="I71" s="2216"/>
      <c r="J71" s="2216"/>
    </row>
    <row r="72" spans="1:17" ht="14.4">
      <c r="A72" s="2216" t="s">
        <v>2131</v>
      </c>
      <c r="B72" s="2216"/>
      <c r="C72" s="2216"/>
      <c r="D72" s="2216"/>
      <c r="E72" s="2216"/>
      <c r="F72" s="2216"/>
      <c r="G72" s="2216"/>
      <c r="H72" s="2216"/>
      <c r="I72" s="2216"/>
      <c r="J72" s="2216"/>
    </row>
    <row r="73" spans="1:17" ht="14.4">
      <c r="A73" s="2216" t="s">
        <v>2132</v>
      </c>
      <c r="B73" s="2216"/>
      <c r="C73" s="2216"/>
      <c r="D73" s="2216"/>
      <c r="E73" s="2216"/>
      <c r="F73" s="2216"/>
      <c r="G73" s="2216"/>
      <c r="H73" s="2216"/>
      <c r="I73" s="2216"/>
      <c r="J73" s="2216"/>
    </row>
  </sheetData>
  <mergeCells count="151">
    <mergeCell ref="P67:Q67"/>
    <mergeCell ref="P68:Q68"/>
    <mergeCell ref="P69:Q69"/>
    <mergeCell ref="B56:C56"/>
    <mergeCell ref="D56:E56"/>
    <mergeCell ref="F56:G56"/>
    <mergeCell ref="H56:I56"/>
    <mergeCell ref="J56:K56"/>
    <mergeCell ref="L56:M56"/>
    <mergeCell ref="N56:O56"/>
    <mergeCell ref="P56:Q56"/>
    <mergeCell ref="N67:O67"/>
    <mergeCell ref="N68:O68"/>
    <mergeCell ref="N69:O69"/>
    <mergeCell ref="P64:Q64"/>
    <mergeCell ref="P65:Q65"/>
    <mergeCell ref="P66:Q66"/>
    <mergeCell ref="L67:M67"/>
    <mergeCell ref="L68:M68"/>
    <mergeCell ref="L69:M69"/>
    <mergeCell ref="N64:O64"/>
    <mergeCell ref="N65:O65"/>
    <mergeCell ref="N66:O66"/>
    <mergeCell ref="J67:K67"/>
    <mergeCell ref="L62:M62"/>
    <mergeCell ref="L63:M63"/>
    <mergeCell ref="P54:Q54"/>
    <mergeCell ref="P55:Q55"/>
    <mergeCell ref="P57:Q57"/>
    <mergeCell ref="P58:Q58"/>
    <mergeCell ref="P59:Q59"/>
    <mergeCell ref="P60:Q60"/>
    <mergeCell ref="P61:Q61"/>
    <mergeCell ref="P62:Q62"/>
    <mergeCell ref="P63:Q63"/>
    <mergeCell ref="H57:I57"/>
    <mergeCell ref="H58:I58"/>
    <mergeCell ref="H61:I61"/>
    <mergeCell ref="H62:I62"/>
    <mergeCell ref="H63:I63"/>
    <mergeCell ref="L64:M64"/>
    <mergeCell ref="L65:M65"/>
    <mergeCell ref="L66:M66"/>
    <mergeCell ref="N54:O54"/>
    <mergeCell ref="N55:O55"/>
    <mergeCell ref="N57:O57"/>
    <mergeCell ref="N58:O58"/>
    <mergeCell ref="N59:O59"/>
    <mergeCell ref="N60:O60"/>
    <mergeCell ref="N61:O61"/>
    <mergeCell ref="N62:O62"/>
    <mergeCell ref="N63:O63"/>
    <mergeCell ref="L54:M54"/>
    <mergeCell ref="L55:M55"/>
    <mergeCell ref="L57:M57"/>
    <mergeCell ref="L58:M58"/>
    <mergeCell ref="L59:M59"/>
    <mergeCell ref="L60:M60"/>
    <mergeCell ref="L61:M61"/>
    <mergeCell ref="J60:K60"/>
    <mergeCell ref="J61:K61"/>
    <mergeCell ref="J62:K62"/>
    <mergeCell ref="J63:K63"/>
    <mergeCell ref="J64:K64"/>
    <mergeCell ref="J65:K65"/>
    <mergeCell ref="J66:K66"/>
    <mergeCell ref="J68:K68"/>
    <mergeCell ref="J69:K69"/>
    <mergeCell ref="H66:I66"/>
    <mergeCell ref="D67:E67"/>
    <mergeCell ref="D68:E68"/>
    <mergeCell ref="D69:E69"/>
    <mergeCell ref="D58:E58"/>
    <mergeCell ref="D59:E59"/>
    <mergeCell ref="L30:O30"/>
    <mergeCell ref="F66:G66"/>
    <mergeCell ref="D57:E57"/>
    <mergeCell ref="D60:E60"/>
    <mergeCell ref="D61:E61"/>
    <mergeCell ref="D62:E62"/>
    <mergeCell ref="D63:E63"/>
    <mergeCell ref="D64:E64"/>
    <mergeCell ref="D65:E65"/>
    <mergeCell ref="D66:E66"/>
    <mergeCell ref="H67:I67"/>
    <mergeCell ref="H68:I68"/>
    <mergeCell ref="H69:I69"/>
    <mergeCell ref="J54:K54"/>
    <mergeCell ref="J55:K55"/>
    <mergeCell ref="J57:K57"/>
    <mergeCell ref="J58:K58"/>
    <mergeCell ref="J59:K59"/>
    <mergeCell ref="F59:G59"/>
    <mergeCell ref="F60:G60"/>
    <mergeCell ref="F61:G61"/>
    <mergeCell ref="F62:G62"/>
    <mergeCell ref="F63:G63"/>
    <mergeCell ref="F64:G64"/>
    <mergeCell ref="F65:G65"/>
    <mergeCell ref="H59:I59"/>
    <mergeCell ref="H60:I60"/>
    <mergeCell ref="H64:I64"/>
    <mergeCell ref="H65:I65"/>
    <mergeCell ref="A73:J73"/>
    <mergeCell ref="B55:C55"/>
    <mergeCell ref="B57:C57"/>
    <mergeCell ref="B58:C58"/>
    <mergeCell ref="B59:C59"/>
    <mergeCell ref="B60:C60"/>
    <mergeCell ref="B61:C61"/>
    <mergeCell ref="B62:C62"/>
    <mergeCell ref="B63:C63"/>
    <mergeCell ref="A70:J70"/>
    <mergeCell ref="A71:J71"/>
    <mergeCell ref="A72:J72"/>
    <mergeCell ref="B64:C64"/>
    <mergeCell ref="B65:C65"/>
    <mergeCell ref="B66:C66"/>
    <mergeCell ref="B67:C67"/>
    <mergeCell ref="B68:C68"/>
    <mergeCell ref="B69:C69"/>
    <mergeCell ref="D55:E55"/>
    <mergeCell ref="F67:G67"/>
    <mergeCell ref="F68:G68"/>
    <mergeCell ref="F69:G69"/>
    <mergeCell ref="F57:G57"/>
    <mergeCell ref="F58:G58"/>
    <mergeCell ref="U10:AD10"/>
    <mergeCell ref="D8:F8"/>
    <mergeCell ref="A9:A10"/>
    <mergeCell ref="C9:C10"/>
    <mergeCell ref="A30:A31"/>
    <mergeCell ref="C30:C31"/>
    <mergeCell ref="D30:D31"/>
    <mergeCell ref="E30:G30"/>
    <mergeCell ref="A54:A56"/>
    <mergeCell ref="B54:C54"/>
    <mergeCell ref="D54:E54"/>
    <mergeCell ref="F54:G54"/>
    <mergeCell ref="F55:G55"/>
    <mergeCell ref="D9:D10"/>
    <mergeCell ref="E9:G9"/>
    <mergeCell ref="H9:K9"/>
    <mergeCell ref="L9:O9"/>
    <mergeCell ref="H30:K30"/>
    <mergeCell ref="B9:B10"/>
    <mergeCell ref="B30:B31"/>
    <mergeCell ref="H54:I54"/>
    <mergeCell ref="H55:I55"/>
    <mergeCell ref="A28:K28"/>
    <mergeCell ref="A49:K49"/>
  </mergeCells>
  <dataValidations count="1">
    <dataValidation type="list" allowBlank="1" showInputMessage="1" showErrorMessage="1" sqref="B11:B27" xr:uid="{00000000-0002-0000-1000-000000000000}">
      <formula1>$T$11:$T$14</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WVQ351"/>
  <sheetViews>
    <sheetView zoomScale="55" zoomScaleNormal="55" workbookViewId="0">
      <selection activeCell="L41" sqref="L41"/>
    </sheetView>
  </sheetViews>
  <sheetFormatPr defaultColWidth="8.6640625" defaultRowHeight="13.2"/>
  <cols>
    <col min="1" max="2" width="15.44140625" style="99" customWidth="1"/>
    <col min="3" max="3" width="36.6640625" style="99" customWidth="1"/>
    <col min="4" max="4" width="34.5546875" style="99" customWidth="1"/>
    <col min="5" max="5" width="27.44140625" style="99" customWidth="1"/>
    <col min="6" max="6" width="27.33203125" style="99" customWidth="1"/>
    <col min="7" max="7" width="34.6640625" style="99" customWidth="1"/>
    <col min="8" max="8" width="35.33203125" style="99" customWidth="1"/>
    <col min="9" max="10" width="25.44140625" style="99" customWidth="1"/>
    <col min="11" max="11" width="29.5546875" style="99" customWidth="1"/>
    <col min="12" max="12" width="25.44140625" style="99" customWidth="1"/>
    <col min="13" max="13" width="13.33203125" style="99" customWidth="1"/>
    <col min="14" max="16" width="17.44140625" style="99" bestFit="1" customWidth="1"/>
    <col min="17" max="17" width="16" style="99" customWidth="1"/>
    <col min="18" max="18" width="15.44140625" style="99" customWidth="1"/>
    <col min="19" max="19" width="13.33203125" style="99" bestFit="1" customWidth="1"/>
    <col min="20" max="20" width="14.44140625" style="99" customWidth="1"/>
    <col min="21" max="21" width="15.44140625" style="99" customWidth="1"/>
    <col min="22" max="16384" width="8.6640625" style="99"/>
  </cols>
  <sheetData>
    <row r="1" spans="1:17" s="205" customFormat="1">
      <c r="A1" s="1474" t="s">
        <v>1147</v>
      </c>
      <c r="B1" s="1474"/>
      <c r="C1" s="1474"/>
      <c r="D1" s="1474"/>
      <c r="E1" s="1474"/>
      <c r="F1" s="1474"/>
      <c r="G1" s="1474"/>
      <c r="H1" s="1474"/>
      <c r="I1" s="1474"/>
      <c r="J1" s="1474"/>
      <c r="K1" s="1474"/>
      <c r="L1" s="1475"/>
    </row>
    <row r="2" spans="1:17">
      <c r="A2" s="1476" t="s">
        <v>1155</v>
      </c>
      <c r="B2" s="1477"/>
      <c r="C2" s="1477"/>
      <c r="D2" s="1477"/>
      <c r="E2" s="1477"/>
      <c r="F2" s="1477"/>
      <c r="G2" s="1477"/>
      <c r="H2" s="1477"/>
      <c r="I2" s="1477"/>
      <c r="J2" s="1477"/>
      <c r="K2" s="1477"/>
      <c r="L2" s="1477"/>
      <c r="M2" s="128"/>
    </row>
    <row r="4" spans="1:17">
      <c r="A4" s="120" t="s">
        <v>254</v>
      </c>
      <c r="B4" s="1413">
        <f>'City information'!$C$4</f>
        <v>0</v>
      </c>
      <c r="C4" s="120"/>
      <c r="D4" s="120"/>
      <c r="E4" s="120"/>
      <c r="F4" s="120" t="s">
        <v>2535</v>
      </c>
      <c r="G4" s="120"/>
      <c r="H4" s="120"/>
      <c r="I4" s="120"/>
      <c r="J4" s="120"/>
      <c r="K4" s="120"/>
      <c r="L4" s="120"/>
      <c r="M4" s="126"/>
    </row>
    <row r="5" spans="1:17">
      <c r="A5" s="120" t="s">
        <v>140</v>
      </c>
      <c r="B5" s="1413">
        <f>'City information'!$C$5</f>
        <v>2562</v>
      </c>
      <c r="C5" s="120"/>
      <c r="D5" s="120"/>
      <c r="E5" s="120"/>
      <c r="F5" s="120" t="s">
        <v>2536</v>
      </c>
      <c r="G5" s="120"/>
      <c r="H5" s="120"/>
      <c r="I5" s="120"/>
      <c r="J5" s="120"/>
      <c r="K5" s="120"/>
      <c r="L5" s="120"/>
      <c r="M5" s="126"/>
    </row>
    <row r="7" spans="1:17">
      <c r="A7" s="111" t="s">
        <v>447</v>
      </c>
      <c r="B7" s="112"/>
      <c r="C7" s="111"/>
      <c r="D7" s="111"/>
      <c r="E7" s="111"/>
      <c r="F7" s="111"/>
      <c r="G7" s="111"/>
      <c r="H7" s="111"/>
      <c r="I7" s="111"/>
      <c r="J7" s="111"/>
      <c r="K7" s="111"/>
      <c r="L7" s="111"/>
    </row>
    <row r="8" spans="1:17">
      <c r="A8" s="2284" t="s">
        <v>1156</v>
      </c>
      <c r="B8" s="2284"/>
      <c r="C8" s="2284" t="s">
        <v>2434</v>
      </c>
      <c r="D8" s="2285" t="s">
        <v>2441</v>
      </c>
      <c r="E8" s="2285"/>
      <c r="F8" s="2285" t="s">
        <v>2444</v>
      </c>
      <c r="G8" s="2285"/>
      <c r="H8" s="2333" t="s">
        <v>2445</v>
      </c>
      <c r="O8" s="1426" t="s">
        <v>2438</v>
      </c>
      <c r="P8" s="2332" t="s">
        <v>2439</v>
      </c>
      <c r="Q8" s="2332"/>
    </row>
    <row r="9" spans="1:17">
      <c r="A9" s="2284"/>
      <c r="B9" s="2284"/>
      <c r="C9" s="2284"/>
      <c r="D9" s="1681" t="s">
        <v>2442</v>
      </c>
      <c r="E9" s="1681" t="s">
        <v>2443</v>
      </c>
      <c r="F9" s="1681" t="s">
        <v>2442</v>
      </c>
      <c r="G9" s="1681" t="s">
        <v>2443</v>
      </c>
      <c r="H9" s="2333"/>
      <c r="O9" s="1425" t="s">
        <v>1338</v>
      </c>
      <c r="P9" s="1425" t="s">
        <v>2540</v>
      </c>
      <c r="Q9" s="1425" t="s">
        <v>2541</v>
      </c>
    </row>
    <row r="10" spans="1:17">
      <c r="A10" s="2286" t="s">
        <v>1158</v>
      </c>
      <c r="B10" s="2286"/>
      <c r="C10" s="1343"/>
      <c r="D10" s="1343"/>
      <c r="E10" s="1343"/>
      <c r="F10" s="517">
        <f>(D10*0.16)</f>
        <v>0</v>
      </c>
      <c r="G10" s="517">
        <f>(E10*0.16)</f>
        <v>0</v>
      </c>
      <c r="H10" s="1433">
        <f>G10-F10</f>
        <v>0</v>
      </c>
      <c r="O10" s="1425" t="s">
        <v>2436</v>
      </c>
      <c r="P10" s="1425" t="s">
        <v>2542</v>
      </c>
      <c r="Q10" s="1425" t="s">
        <v>2543</v>
      </c>
    </row>
    <row r="11" spans="1:17">
      <c r="A11" s="2286" t="s">
        <v>1159</v>
      </c>
      <c r="B11" s="2286"/>
      <c r="C11" s="1343"/>
      <c r="D11" s="1429"/>
      <c r="E11" s="1429"/>
      <c r="F11" s="517">
        <f>(D11*0.16)</f>
        <v>0</v>
      </c>
      <c r="G11" s="517">
        <f>(E11*0.16)</f>
        <v>0</v>
      </c>
      <c r="H11" s="1433">
        <f>G11-F11</f>
        <v>0</v>
      </c>
      <c r="O11" s="1425" t="s">
        <v>2437</v>
      </c>
      <c r="P11" s="1425" t="s">
        <v>2544</v>
      </c>
      <c r="Q11" s="1425" t="s">
        <v>2545</v>
      </c>
    </row>
    <row r="12" spans="1:17">
      <c r="A12" s="2286" t="s">
        <v>1160</v>
      </c>
      <c r="B12" s="2286"/>
      <c r="C12" s="1343"/>
      <c r="D12" s="1429"/>
      <c r="E12" s="1429"/>
      <c r="F12" s="517">
        <f>D12*0.16</f>
        <v>0</v>
      </c>
      <c r="G12" s="517">
        <f>E12*0.16</f>
        <v>0</v>
      </c>
      <c r="H12" s="1433">
        <f t="shared" ref="H12:H15" si="0">G12-F12</f>
        <v>0</v>
      </c>
      <c r="J12" s="290"/>
      <c r="O12" s="1425" t="s">
        <v>1395</v>
      </c>
      <c r="P12" s="1425" t="s">
        <v>2546</v>
      </c>
      <c r="Q12" s="1425" t="s">
        <v>2547</v>
      </c>
    </row>
    <row r="13" spans="1:17">
      <c r="A13" s="2286" t="s">
        <v>1161</v>
      </c>
      <c r="B13" s="2286"/>
      <c r="C13" s="1343"/>
      <c r="D13" s="1429"/>
      <c r="E13" s="1429"/>
      <c r="F13" s="517">
        <f>D13*0.16</f>
        <v>0</v>
      </c>
      <c r="G13" s="517">
        <f>E13*0.16</f>
        <v>0</v>
      </c>
      <c r="H13" s="1433">
        <f t="shared" si="0"/>
        <v>0</v>
      </c>
      <c r="J13" s="290"/>
      <c r="O13" s="1425" t="s">
        <v>1342</v>
      </c>
      <c r="P13" s="1425" t="s">
        <v>2440</v>
      </c>
      <c r="Q13" s="1425" t="s">
        <v>2548</v>
      </c>
    </row>
    <row r="14" spans="1:17">
      <c r="A14" s="2286" t="s">
        <v>1162</v>
      </c>
      <c r="B14" s="2286"/>
      <c r="C14" s="1343"/>
      <c r="D14" s="1344"/>
      <c r="E14" s="1344"/>
      <c r="F14" s="517">
        <f>(D14*0.16)</f>
        <v>0</v>
      </c>
      <c r="G14" s="517">
        <f t="shared" ref="G14:G16" si="1">(E14*0.16)</f>
        <v>0</v>
      </c>
      <c r="H14" s="1433">
        <f>G14-F14</f>
        <v>0</v>
      </c>
      <c r="J14" s="290"/>
    </row>
    <row r="15" spans="1:17">
      <c r="A15" s="2286" t="s">
        <v>1163</v>
      </c>
      <c r="B15" s="2286"/>
      <c r="C15" s="1343"/>
      <c r="D15" s="1682">
        <f>D10-D11+D12+D13-D14</f>
        <v>0</v>
      </c>
      <c r="E15" s="1682">
        <f>E10-E11+E12+E13-E14</f>
        <v>0</v>
      </c>
      <c r="F15" s="517">
        <f>(D15*0.16)</f>
        <v>0</v>
      </c>
      <c r="G15" s="517">
        <f>(E15*0.16)</f>
        <v>0</v>
      </c>
      <c r="H15" s="1437">
        <f t="shared" si="0"/>
        <v>0</v>
      </c>
      <c r="J15" s="290"/>
      <c r="K15" s="290"/>
    </row>
    <row r="16" spans="1:17">
      <c r="A16" s="2286" t="s">
        <v>1164</v>
      </c>
      <c r="B16" s="2286"/>
      <c r="C16" s="1343"/>
      <c r="D16" s="1436"/>
      <c r="E16" s="1436"/>
      <c r="F16" s="517">
        <f>(D16*0.16)</f>
        <v>0</v>
      </c>
      <c r="G16" s="517">
        <f t="shared" si="1"/>
        <v>0</v>
      </c>
      <c r="H16" s="1430">
        <f>G16-F16</f>
        <v>0</v>
      </c>
      <c r="J16" s="290"/>
    </row>
    <row r="17" spans="1:45" ht="13.8" thickBot="1">
      <c r="A17" s="2231" t="s">
        <v>2446</v>
      </c>
      <c r="B17" s="2232"/>
      <c r="C17" s="1343"/>
      <c r="D17" s="1495"/>
      <c r="E17" s="1495"/>
      <c r="F17" s="517">
        <f>(D17*0.16)</f>
        <v>0</v>
      </c>
      <c r="G17" s="517">
        <f>(E17*0.16)</f>
        <v>0</v>
      </c>
      <c r="H17" s="1433">
        <f>G17-F17</f>
        <v>0</v>
      </c>
    </row>
    <row r="18" spans="1:45" s="485" customFormat="1" ht="23.4">
      <c r="A18" s="2298" t="s">
        <v>1165</v>
      </c>
      <c r="B18" s="2289"/>
      <c r="C18" s="2289"/>
      <c r="D18" s="2287" t="s">
        <v>1166</v>
      </c>
      <c r="E18" s="2287" t="s">
        <v>1167</v>
      </c>
      <c r="F18" s="1494" t="s">
        <v>1168</v>
      </c>
      <c r="G18" s="2287" t="s">
        <v>1169</v>
      </c>
      <c r="H18" s="2287" t="s">
        <v>1170</v>
      </c>
      <c r="I18" s="2295" t="s">
        <v>1171</v>
      </c>
      <c r="J18" s="1168" t="s">
        <v>1172</v>
      </c>
      <c r="K18" s="1168" t="s">
        <v>1173</v>
      </c>
      <c r="L18" s="1725" t="s">
        <v>2433</v>
      </c>
      <c r="M18" s="617"/>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row>
    <row r="19" spans="1:45" s="487" customFormat="1" ht="15" thickBot="1">
      <c r="A19" s="2299"/>
      <c r="B19" s="2300"/>
      <c r="C19" s="2300"/>
      <c r="D19" s="2288"/>
      <c r="E19" s="2288"/>
      <c r="F19" s="486" t="s">
        <v>1174</v>
      </c>
      <c r="G19" s="2288"/>
      <c r="H19" s="2288"/>
      <c r="I19" s="2296"/>
      <c r="J19" s="520" t="s">
        <v>1175</v>
      </c>
      <c r="K19" s="520" t="s">
        <v>1176</v>
      </c>
      <c r="L19" s="1724" t="s">
        <v>2538</v>
      </c>
      <c r="M19" s="618"/>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row>
    <row r="20" spans="1:45">
      <c r="A20" s="1420" t="s">
        <v>1177</v>
      </c>
      <c r="B20" s="1421"/>
      <c r="C20" s="1422"/>
      <c r="D20" s="1423"/>
      <c r="E20" s="1423"/>
      <c r="F20" s="1423"/>
      <c r="G20" s="1423"/>
      <c r="H20" s="1423"/>
      <c r="I20" s="1423"/>
      <c r="J20" s="1423"/>
      <c r="K20" s="1423">
        <f>SUM(K21)</f>
        <v>0</v>
      </c>
      <c r="L20" s="1726">
        <f>SUM(L21)</f>
        <v>0</v>
      </c>
      <c r="M20" s="619"/>
    </row>
    <row r="21" spans="1:45" s="113" customFormat="1">
      <c r="A21" s="501" t="s">
        <v>1178</v>
      </c>
      <c r="C21" s="1424"/>
      <c r="D21" s="503">
        <f>J55</f>
        <v>0</v>
      </c>
      <c r="E21" s="503">
        <f>J208+K233</f>
        <v>0</v>
      </c>
      <c r="F21" s="503">
        <f>D21-E21</f>
        <v>0</v>
      </c>
      <c r="J21" s="503"/>
      <c r="K21" s="503">
        <f>F21+G21+J21</f>
        <v>0</v>
      </c>
      <c r="L21" s="518">
        <f>K21*(-44/12)</f>
        <v>0</v>
      </c>
      <c r="M21" s="503">
        <f>L21+'V.2 Land use_CL'!L21</f>
        <v>0</v>
      </c>
    </row>
    <row r="22" spans="1:45" s="113" customFormat="1">
      <c r="A22" s="1420" t="s">
        <v>1157</v>
      </c>
      <c r="B22" s="1421"/>
      <c r="C22" s="1422"/>
      <c r="D22" s="1423"/>
      <c r="E22" s="1423"/>
      <c r="F22" s="1423"/>
      <c r="G22" s="1423"/>
      <c r="H22" s="1423"/>
      <c r="I22" s="1423"/>
      <c r="J22" s="1423"/>
      <c r="K22" s="1423">
        <f>SUM(K23:K23)</f>
        <v>0</v>
      </c>
      <c r="L22" s="1726">
        <f>SUM(L23:L23)</f>
        <v>0</v>
      </c>
      <c r="M22" s="619"/>
    </row>
    <row r="23" spans="1:45">
      <c r="A23" s="504" t="s">
        <v>1179</v>
      </c>
      <c r="B23" s="1040"/>
      <c r="C23" s="290"/>
      <c r="D23" s="290"/>
      <c r="E23" s="743"/>
      <c r="F23" s="503">
        <f>J258</f>
        <v>0</v>
      </c>
      <c r="G23" s="527">
        <f>I273</f>
        <v>0</v>
      </c>
      <c r="H23" s="527">
        <f>M292</f>
        <v>0</v>
      </c>
      <c r="I23" s="503">
        <f>G307</f>
        <v>0</v>
      </c>
      <c r="J23" s="503">
        <f>H23-I23</f>
        <v>0</v>
      </c>
      <c r="K23" s="503">
        <f>F23+G23+J23</f>
        <v>0</v>
      </c>
      <c r="L23" s="518">
        <f>K23*(-44/12)</f>
        <v>0</v>
      </c>
      <c r="M23" s="503"/>
    </row>
    <row r="24" spans="1:45" ht="13.8" thickBot="1">
      <c r="A24" s="612" t="s">
        <v>1180</v>
      </c>
      <c r="B24" s="1040"/>
      <c r="C24" s="290"/>
      <c r="D24" s="290"/>
      <c r="E24" s="290"/>
      <c r="F24" s="503">
        <f>I318</f>
        <v>0</v>
      </c>
      <c r="G24" s="527">
        <f>H327</f>
        <v>0</v>
      </c>
      <c r="H24" s="527">
        <f>M341</f>
        <v>0</v>
      </c>
      <c r="I24" s="503">
        <f>F350</f>
        <v>0</v>
      </c>
      <c r="J24" s="503">
        <f>H24-I24</f>
        <v>0</v>
      </c>
      <c r="K24" s="503">
        <f>F24+G24+J24</f>
        <v>0</v>
      </c>
      <c r="L24" s="620">
        <f>K24*(-44/12)</f>
        <v>0</v>
      </c>
      <c r="M24" s="503">
        <f>L24+'V.2 Land use_CL'!L23</f>
        <v>0</v>
      </c>
    </row>
    <row r="26" spans="1:45">
      <c r="A26" s="736" t="s">
        <v>1181</v>
      </c>
      <c r="B26" s="736"/>
      <c r="C26" s="736"/>
      <c r="D26" s="736"/>
      <c r="E26" s="736"/>
      <c r="F26" s="736"/>
      <c r="G26" s="736"/>
      <c r="H26" s="736"/>
      <c r="I26" s="736"/>
      <c r="J26" s="736"/>
      <c r="K26" s="736"/>
      <c r="L26" s="736"/>
      <c r="M26" s="126"/>
    </row>
    <row r="27" spans="1:45" ht="14.1" customHeight="1">
      <c r="A27" s="496" t="s">
        <v>1182</v>
      </c>
      <c r="B27" s="497"/>
      <c r="C27" s="497"/>
      <c r="D27" s="497"/>
      <c r="E27" s="497"/>
      <c r="F27" s="497"/>
      <c r="G27" s="497"/>
      <c r="H27" s="497"/>
      <c r="I27" s="497"/>
      <c r="J27" s="497"/>
    </row>
    <row r="28" spans="1:45" ht="13.8" thickBot="1">
      <c r="A28" s="2236" t="s">
        <v>1183</v>
      </c>
      <c r="B28" s="2297"/>
      <c r="C28" s="1107" t="s">
        <v>1184</v>
      </c>
      <c r="D28" s="2254" t="s">
        <v>2434</v>
      </c>
      <c r="E28" s="1107" t="s">
        <v>1185</v>
      </c>
      <c r="F28" s="2236" t="s">
        <v>1186</v>
      </c>
      <c r="G28" s="2265"/>
      <c r="H28" s="2297"/>
      <c r="I28" s="2236" t="s">
        <v>1185</v>
      </c>
      <c r="J28" s="2297"/>
    </row>
    <row r="29" spans="1:45" ht="40.200000000000003" thickBot="1">
      <c r="A29" s="2268" t="s">
        <v>1187</v>
      </c>
      <c r="B29" s="2269"/>
      <c r="C29" s="2253" t="s">
        <v>1188</v>
      </c>
      <c r="D29" s="2254"/>
      <c r="E29" s="1108" t="s">
        <v>1189</v>
      </c>
      <c r="F29" s="1108" t="s">
        <v>1190</v>
      </c>
      <c r="G29" s="1108" t="s">
        <v>1191</v>
      </c>
      <c r="H29" s="1108" t="s">
        <v>1192</v>
      </c>
      <c r="I29" s="1108" t="s">
        <v>1193</v>
      </c>
      <c r="J29" s="1108" t="s">
        <v>1194</v>
      </c>
    </row>
    <row r="30" spans="1:45" ht="12.75" customHeight="1">
      <c r="A30" s="2253" t="s">
        <v>1195</v>
      </c>
      <c r="B30" s="2253" t="s">
        <v>1196</v>
      </c>
      <c r="C30" s="2254"/>
      <c r="D30" s="2254"/>
      <c r="E30" s="2253" t="s">
        <v>1197</v>
      </c>
      <c r="F30" s="866" t="s">
        <v>1198</v>
      </c>
      <c r="G30" s="2253" t="s">
        <v>1199</v>
      </c>
      <c r="H30" s="866" t="s">
        <v>1198</v>
      </c>
      <c r="I30" s="866" t="s">
        <v>1200</v>
      </c>
      <c r="J30" s="2253" t="s">
        <v>1201</v>
      </c>
    </row>
    <row r="31" spans="1:45" ht="15" thickBot="1">
      <c r="A31" s="2254"/>
      <c r="B31" s="2254"/>
      <c r="C31" s="2254"/>
      <c r="D31" s="2254"/>
      <c r="E31" s="2255"/>
      <c r="F31" s="1109" t="s">
        <v>1202</v>
      </c>
      <c r="G31" s="2255"/>
      <c r="H31" s="1109" t="s">
        <v>1202</v>
      </c>
      <c r="I31" s="1109" t="s">
        <v>1203</v>
      </c>
      <c r="J31" s="2255"/>
    </row>
    <row r="32" spans="1:45" ht="47.25" customHeight="1">
      <c r="A32" s="2254"/>
      <c r="B32" s="2254"/>
      <c r="C32" s="2254"/>
      <c r="D32" s="2254"/>
      <c r="E32" s="2253" t="s">
        <v>1204</v>
      </c>
      <c r="F32" s="866" t="s">
        <v>1205</v>
      </c>
      <c r="G32" s="866" t="s">
        <v>1206</v>
      </c>
      <c r="H32" s="2253" t="s">
        <v>1207</v>
      </c>
      <c r="I32" s="866" t="s">
        <v>1208</v>
      </c>
      <c r="J32" s="2253" t="s">
        <v>1209</v>
      </c>
    </row>
    <row r="33" spans="1:10" ht="13.8" thickBot="1">
      <c r="A33" s="2254"/>
      <c r="B33" s="2254"/>
      <c r="C33" s="2254"/>
      <c r="D33" s="2254"/>
      <c r="E33" s="2255"/>
      <c r="F33" s="1109" t="s">
        <v>1210</v>
      </c>
      <c r="G33" s="1109" t="s">
        <v>1211</v>
      </c>
      <c r="H33" s="2255"/>
      <c r="I33" s="1109" t="s">
        <v>1212</v>
      </c>
      <c r="J33" s="2255"/>
    </row>
    <row r="34" spans="1:10" ht="15" thickBot="1">
      <c r="A34" s="2254"/>
      <c r="B34" s="2254"/>
      <c r="C34" s="2254"/>
      <c r="D34" s="2254"/>
      <c r="E34" s="1438" t="s">
        <v>1213</v>
      </c>
      <c r="F34" s="1438" t="s">
        <v>1214</v>
      </c>
      <c r="G34" s="1438" t="s">
        <v>1215</v>
      </c>
      <c r="H34" s="1438" t="s">
        <v>1216</v>
      </c>
      <c r="I34" s="1438" t="s">
        <v>1217</v>
      </c>
      <c r="J34" s="1438" t="s">
        <v>1218</v>
      </c>
    </row>
    <row r="35" spans="1:10" ht="13.8" thickBot="1">
      <c r="A35" s="2253" t="s">
        <v>1219</v>
      </c>
      <c r="B35" s="2293" t="s">
        <v>1219</v>
      </c>
      <c r="C35" s="1504" t="s">
        <v>1220</v>
      </c>
      <c r="D35" s="1744"/>
      <c r="E35" s="1443"/>
      <c r="F35" s="2262"/>
      <c r="G35" s="2262"/>
      <c r="H35" s="1445"/>
      <c r="I35" s="1445"/>
      <c r="J35" s="1444"/>
    </row>
    <row r="36" spans="1:10" ht="13.8" thickBot="1">
      <c r="A36" s="2254"/>
      <c r="B36" s="2254"/>
      <c r="C36" s="1488" t="s">
        <v>1221</v>
      </c>
      <c r="D36" s="1746"/>
      <c r="E36" s="1304"/>
      <c r="F36" s="1112">
        <v>2.25</v>
      </c>
      <c r="G36" s="1113">
        <v>0.37</v>
      </c>
      <c r="H36" s="1114">
        <f>F36*(1+G36)</f>
        <v>3.0825000000000005</v>
      </c>
      <c r="I36" s="1115">
        <v>0.54</v>
      </c>
      <c r="J36" s="1116">
        <f>E36*H36*I36</f>
        <v>0</v>
      </c>
    </row>
    <row r="37" spans="1:10" ht="13.8" thickBot="1">
      <c r="A37" s="2254"/>
      <c r="B37" s="2254"/>
      <c r="C37" s="1488" t="s">
        <v>1222</v>
      </c>
      <c r="D37" s="1746"/>
      <c r="E37" s="1304"/>
      <c r="F37" s="1112">
        <v>3.37</v>
      </c>
      <c r="G37" s="1113">
        <v>0.37</v>
      </c>
      <c r="H37" s="1114">
        <f t="shared" ref="H37:H45" si="2">F37*(1+G37)</f>
        <v>4.6169000000000002</v>
      </c>
      <c r="I37" s="1115">
        <v>0.54</v>
      </c>
      <c r="J37" s="1116">
        <f>E37*H37*I37</f>
        <v>0</v>
      </c>
    </row>
    <row r="38" spans="1:10" ht="13.8" thickBot="1">
      <c r="A38" s="2254"/>
      <c r="B38" s="2254"/>
      <c r="C38" s="1488" t="s">
        <v>1223</v>
      </c>
      <c r="D38" s="1493"/>
      <c r="E38" s="959">
        <f>F11</f>
        <v>0</v>
      </c>
      <c r="F38" s="1112">
        <v>1.77</v>
      </c>
      <c r="G38" s="1117">
        <v>0.24</v>
      </c>
      <c r="H38" s="1114">
        <f t="shared" si="2"/>
        <v>2.1947999999999999</v>
      </c>
      <c r="I38" s="1115">
        <v>0.52</v>
      </c>
      <c r="J38" s="1116">
        <f t="shared" ref="J38:J45" si="3">E38*H38*I38</f>
        <v>0</v>
      </c>
    </row>
    <row r="39" spans="1:10" ht="13.8" thickBot="1">
      <c r="A39" s="2254"/>
      <c r="B39" s="2254"/>
      <c r="C39" s="1488" t="s">
        <v>2257</v>
      </c>
      <c r="D39" s="1493"/>
      <c r="E39" s="959">
        <f>F10-F11</f>
        <v>0</v>
      </c>
      <c r="F39" s="1112">
        <v>2.66</v>
      </c>
      <c r="G39" s="1117">
        <v>0.24</v>
      </c>
      <c r="H39" s="1114">
        <f t="shared" si="2"/>
        <v>3.2984</v>
      </c>
      <c r="I39" s="1115">
        <v>0.52</v>
      </c>
      <c r="J39" s="1116">
        <f t="shared" si="3"/>
        <v>0</v>
      </c>
    </row>
    <row r="40" spans="1:10" ht="13.8" thickBot="1">
      <c r="A40" s="2254"/>
      <c r="B40" s="2254"/>
      <c r="C40" s="1488" t="s">
        <v>1224</v>
      </c>
      <c r="D40" s="1746"/>
      <c r="E40" s="1304"/>
      <c r="F40" s="1112">
        <v>0.84</v>
      </c>
      <c r="G40" s="1113">
        <v>0.28000000000000003</v>
      </c>
      <c r="H40" s="1114">
        <f t="shared" si="2"/>
        <v>1.0751999999999999</v>
      </c>
      <c r="I40" s="1115">
        <v>0.49</v>
      </c>
      <c r="J40" s="1116">
        <f t="shared" si="3"/>
        <v>0</v>
      </c>
    </row>
    <row r="41" spans="1:10" ht="13.8" thickBot="1">
      <c r="A41" s="2254"/>
      <c r="B41" s="2254"/>
      <c r="C41" s="1488" t="s">
        <v>1225</v>
      </c>
      <c r="D41" s="1746"/>
      <c r="E41" s="1304"/>
      <c r="F41" s="1112">
        <v>1.26</v>
      </c>
      <c r="G41" s="1113">
        <v>0.28000000000000003</v>
      </c>
      <c r="H41" s="1114">
        <f t="shared" si="2"/>
        <v>1.6128</v>
      </c>
      <c r="I41" s="1115">
        <v>0.49</v>
      </c>
      <c r="J41" s="1116">
        <f t="shared" si="3"/>
        <v>0</v>
      </c>
    </row>
    <row r="42" spans="1:10" ht="13.8" thickBot="1">
      <c r="A42" s="2254"/>
      <c r="B42" s="2254"/>
      <c r="C42" s="1488" t="s">
        <v>1226</v>
      </c>
      <c r="D42" s="1746"/>
      <c r="E42" s="1304"/>
      <c r="F42" s="1117">
        <v>0.75</v>
      </c>
      <c r="G42" s="1113">
        <v>0.27</v>
      </c>
      <c r="H42" s="1114">
        <f t="shared" si="2"/>
        <v>0.95250000000000001</v>
      </c>
      <c r="I42" s="1113">
        <v>0.47</v>
      </c>
      <c r="J42" s="1116">
        <f t="shared" si="3"/>
        <v>0</v>
      </c>
    </row>
    <row r="43" spans="1:10" ht="13.8" thickBot="1">
      <c r="A43" s="2254"/>
      <c r="B43" s="2254"/>
      <c r="C43" s="1488" t="s">
        <v>1227</v>
      </c>
      <c r="D43" s="1746"/>
      <c r="E43" s="1304"/>
      <c r="F43" s="1117">
        <v>3</v>
      </c>
      <c r="G43" s="1113">
        <v>0.27</v>
      </c>
      <c r="H43" s="1114">
        <f t="shared" si="2"/>
        <v>3.81</v>
      </c>
      <c r="I43" s="1113">
        <v>0.47</v>
      </c>
      <c r="J43" s="1116">
        <f t="shared" si="3"/>
        <v>0</v>
      </c>
    </row>
    <row r="44" spans="1:10" ht="13.8" thickBot="1">
      <c r="A44" s="2254"/>
      <c r="B44" s="2254"/>
      <c r="C44" s="1488" t="s">
        <v>1228</v>
      </c>
      <c r="D44" s="1746"/>
      <c r="E44" s="1304"/>
      <c r="F44" s="1112">
        <v>1.33</v>
      </c>
      <c r="G44" s="1118">
        <v>0.49</v>
      </c>
      <c r="H44" s="1114">
        <f t="shared" si="2"/>
        <v>1.9817</v>
      </c>
      <c r="I44" s="1115">
        <v>0.55000000000000004</v>
      </c>
      <c r="J44" s="1116">
        <f t="shared" si="3"/>
        <v>0</v>
      </c>
    </row>
    <row r="45" spans="1:10" ht="13.8" thickBot="1">
      <c r="A45" s="2254"/>
      <c r="B45" s="2254"/>
      <c r="C45" s="1488" t="s">
        <v>1229</v>
      </c>
      <c r="D45" s="1746"/>
      <c r="E45" s="1304"/>
      <c r="F45" s="1112">
        <v>2</v>
      </c>
      <c r="G45" s="1118">
        <v>0.49</v>
      </c>
      <c r="H45" s="1114">
        <f t="shared" si="2"/>
        <v>2.98</v>
      </c>
      <c r="I45" s="1119">
        <v>0.55000000000000004</v>
      </c>
      <c r="J45" s="1116">
        <f t="shared" si="3"/>
        <v>0</v>
      </c>
    </row>
    <row r="46" spans="1:10" ht="13.8" thickBot="1">
      <c r="A46" s="2254"/>
      <c r="B46" s="2254"/>
      <c r="C46" s="2247" t="s">
        <v>1230</v>
      </c>
      <c r="D46" s="2294"/>
      <c r="E46" s="1120">
        <f>SUM(E36:E45)</f>
        <v>0</v>
      </c>
      <c r="F46" s="1121"/>
      <c r="G46" s="1122"/>
      <c r="H46" s="1123"/>
      <c r="I46" s="1124"/>
      <c r="J46" s="1125">
        <f>SUM(J36:J45)</f>
        <v>0</v>
      </c>
    </row>
    <row r="47" spans="1:10" ht="13.8" thickBot="1">
      <c r="A47" s="2254"/>
      <c r="B47" s="2254"/>
      <c r="C47" s="1504" t="s">
        <v>2258</v>
      </c>
      <c r="D47" s="1485"/>
      <c r="E47" s="1443"/>
      <c r="F47" s="2262"/>
      <c r="G47" s="2262"/>
      <c r="H47" s="1445"/>
      <c r="I47" s="1445"/>
      <c r="J47" s="1444"/>
    </row>
    <row r="48" spans="1:10" ht="13.8" thickBot="1">
      <c r="A48" s="2254"/>
      <c r="B48" s="2254"/>
      <c r="C48" s="1110" t="s">
        <v>1232</v>
      </c>
      <c r="D48" s="1746"/>
      <c r="E48" s="1244"/>
      <c r="F48" s="1126">
        <v>12.19</v>
      </c>
      <c r="G48" s="1127">
        <v>0.39</v>
      </c>
      <c r="H48" s="1114">
        <f t="shared" ref="H48:H53" si="4">F48*(1+G48)</f>
        <v>16.944100000000002</v>
      </c>
      <c r="I48" s="1127">
        <v>0.49880000000000002</v>
      </c>
      <c r="J48" s="1116">
        <f t="shared" ref="J48:J53" si="5">E48*H48*I48</f>
        <v>0</v>
      </c>
    </row>
    <row r="49" spans="1:10" ht="13.8" thickBot="1">
      <c r="A49" s="2254"/>
      <c r="B49" s="2254"/>
      <c r="C49" s="1110" t="s">
        <v>1233</v>
      </c>
      <c r="D49" s="1746"/>
      <c r="E49" s="1244"/>
      <c r="F49" s="1126">
        <v>4.82</v>
      </c>
      <c r="G49" s="1127">
        <v>0.27</v>
      </c>
      <c r="H49" s="1114">
        <f t="shared" si="4"/>
        <v>6.1214000000000004</v>
      </c>
      <c r="I49" s="1127">
        <v>0.48130000000000001</v>
      </c>
      <c r="J49" s="1116">
        <f t="shared" si="5"/>
        <v>0</v>
      </c>
    </row>
    <row r="50" spans="1:10" ht="13.8" thickBot="1">
      <c r="A50" s="2254"/>
      <c r="B50" s="2254"/>
      <c r="C50" s="1110" t="s">
        <v>1234</v>
      </c>
      <c r="D50" s="1746"/>
      <c r="E50" s="1244"/>
      <c r="F50" s="1112">
        <v>11</v>
      </c>
      <c r="G50" s="1113">
        <v>0.24</v>
      </c>
      <c r="H50" s="1114">
        <f t="shared" si="4"/>
        <v>13.64</v>
      </c>
      <c r="I50" s="1113">
        <v>0.47</v>
      </c>
      <c r="J50" s="1116">
        <f>E50*H50*I50</f>
        <v>0</v>
      </c>
    </row>
    <row r="51" spans="1:10" ht="13.8" thickBot="1">
      <c r="A51" s="2254"/>
      <c r="B51" s="2254"/>
      <c r="C51" s="1110" t="s">
        <v>1235</v>
      </c>
      <c r="D51" s="1746"/>
      <c r="E51" s="1244"/>
      <c r="F51" s="1126">
        <v>6.62</v>
      </c>
      <c r="G51" s="1127">
        <v>0.48</v>
      </c>
      <c r="H51" s="1114">
        <f t="shared" si="4"/>
        <v>9.7975999999999992</v>
      </c>
      <c r="I51" s="1127">
        <v>0.47149999999999997</v>
      </c>
      <c r="J51" s="1116">
        <f t="shared" si="5"/>
        <v>0</v>
      </c>
    </row>
    <row r="52" spans="1:10" ht="13.8" thickBot="1">
      <c r="A52" s="2254"/>
      <c r="B52" s="2254"/>
      <c r="C52" s="488" t="s">
        <v>1236</v>
      </c>
      <c r="D52" s="1493"/>
      <c r="E52" s="1111">
        <f>F13</f>
        <v>0</v>
      </c>
      <c r="F52" s="1126">
        <v>2.61</v>
      </c>
      <c r="G52" s="1127">
        <v>0.26</v>
      </c>
      <c r="H52" s="1114">
        <f t="shared" si="4"/>
        <v>3.2885999999999997</v>
      </c>
      <c r="I52" s="1127">
        <v>0.4733</v>
      </c>
      <c r="J52" s="1116">
        <f t="shared" si="5"/>
        <v>0</v>
      </c>
    </row>
    <row r="53" spans="1:10" ht="13.8" thickBot="1">
      <c r="A53" s="2254"/>
      <c r="B53" s="2254"/>
      <c r="C53" s="1497" t="s">
        <v>1237</v>
      </c>
      <c r="D53" s="1746"/>
      <c r="E53" s="1496"/>
      <c r="F53" s="1117">
        <v>8</v>
      </c>
      <c r="G53" s="1113">
        <v>0.24</v>
      </c>
      <c r="H53" s="1114">
        <f t="shared" si="4"/>
        <v>9.92</v>
      </c>
      <c r="I53" s="1113">
        <v>0.47</v>
      </c>
      <c r="J53" s="1116">
        <f t="shared" si="5"/>
        <v>0</v>
      </c>
    </row>
    <row r="54" spans="1:10" ht="13.8" thickBot="1">
      <c r="A54" s="2255"/>
      <c r="B54" s="2120"/>
      <c r="C54" s="2263" t="s">
        <v>1230</v>
      </c>
      <c r="D54" s="2263"/>
      <c r="E54" s="1498">
        <f>SUM(E48:E53)</f>
        <v>0</v>
      </c>
      <c r="F54" s="1499"/>
      <c r="G54" s="1500"/>
      <c r="H54" s="1123"/>
      <c r="I54" s="1124"/>
      <c r="J54" s="1125">
        <f>SUM(J48:J53)</f>
        <v>0</v>
      </c>
    </row>
    <row r="55" spans="1:10" ht="13.8" thickBot="1">
      <c r="A55" s="2233" t="s">
        <v>250</v>
      </c>
      <c r="B55" s="2234"/>
      <c r="C55" s="2234"/>
      <c r="D55" s="2235"/>
      <c r="E55" s="1502">
        <f>E46+E54</f>
        <v>0</v>
      </c>
      <c r="F55" s="1501"/>
      <c r="G55" s="1501"/>
      <c r="H55" s="1129"/>
      <c r="I55" s="1129"/>
      <c r="J55" s="1130">
        <f>J46+J54</f>
        <v>0</v>
      </c>
    </row>
    <row r="56" spans="1:10">
      <c r="A56" s="99" t="s">
        <v>1238</v>
      </c>
    </row>
    <row r="57" spans="1:10" ht="13.5" customHeight="1">
      <c r="A57" s="99" t="s">
        <v>1239</v>
      </c>
      <c r="B57" s="289"/>
    </row>
    <row r="58" spans="1:10">
      <c r="A58" s="99" t="s">
        <v>1240</v>
      </c>
    </row>
    <row r="59" spans="1:10">
      <c r="A59" s="99" t="s">
        <v>1241</v>
      </c>
    </row>
    <row r="60" spans="1:10">
      <c r="A60" s="99" t="s">
        <v>1242</v>
      </c>
    </row>
    <row r="61" spans="1:10" ht="11.7" customHeight="1"/>
    <row r="62" spans="1:10" ht="14.1" customHeight="1" thickBot="1">
      <c r="A62" s="496" t="s">
        <v>1243</v>
      </c>
      <c r="B62" s="496"/>
      <c r="C62" s="496"/>
      <c r="D62" s="496"/>
      <c r="E62" s="496"/>
      <c r="F62" s="496"/>
      <c r="G62" s="496"/>
      <c r="H62" s="496"/>
      <c r="I62" s="496"/>
      <c r="J62" s="496"/>
    </row>
    <row r="63" spans="1:10" ht="13.8" thickBot="1">
      <c r="A63" s="2266" t="s">
        <v>1183</v>
      </c>
      <c r="B63" s="2267"/>
      <c r="C63" s="869" t="s">
        <v>1184</v>
      </c>
      <c r="D63" s="2236" t="s">
        <v>1244</v>
      </c>
      <c r="E63" s="2237"/>
      <c r="F63" s="2237"/>
      <c r="G63" s="2237"/>
      <c r="H63" s="2237"/>
      <c r="I63" s="2237"/>
      <c r="J63" s="2237"/>
    </row>
    <row r="64" spans="1:10" ht="40.35" customHeight="1" thickBot="1">
      <c r="A64" s="2268" t="s">
        <v>1187</v>
      </c>
      <c r="B64" s="2269"/>
      <c r="C64" s="2253" t="s">
        <v>1188</v>
      </c>
      <c r="D64" s="2253" t="s">
        <v>2434</v>
      </c>
      <c r="E64" s="489" t="s">
        <v>1245</v>
      </c>
      <c r="F64" s="2291" t="s">
        <v>1246</v>
      </c>
      <c r="G64" s="2292"/>
      <c r="H64" s="877" t="s">
        <v>1191</v>
      </c>
      <c r="I64" s="877" t="s">
        <v>1193</v>
      </c>
      <c r="J64" s="877" t="s">
        <v>1247</v>
      </c>
    </row>
    <row r="65" spans="1:10" ht="14.4">
      <c r="A65" s="2253" t="s">
        <v>1195</v>
      </c>
      <c r="B65" s="2253" t="s">
        <v>1196</v>
      </c>
      <c r="C65" s="2254"/>
      <c r="D65" s="2254"/>
      <c r="E65" s="2254" t="s">
        <v>1248</v>
      </c>
      <c r="F65" s="2122" t="s">
        <v>1249</v>
      </c>
      <c r="G65" s="2272"/>
      <c r="H65" s="866" t="s">
        <v>1250</v>
      </c>
      <c r="I65" s="866" t="s">
        <v>1200</v>
      </c>
      <c r="J65" s="867" t="s">
        <v>1201</v>
      </c>
    </row>
    <row r="66" spans="1:10" ht="15" thickBot="1">
      <c r="A66" s="2254"/>
      <c r="B66" s="2254"/>
      <c r="C66" s="2254"/>
      <c r="D66" s="2254"/>
      <c r="E66" s="2255"/>
      <c r="F66" s="2120" t="s">
        <v>1251</v>
      </c>
      <c r="G66" s="2273"/>
      <c r="H66" s="1109" t="s">
        <v>1252</v>
      </c>
      <c r="I66" s="1109" t="s">
        <v>1203</v>
      </c>
      <c r="J66" s="868"/>
    </row>
    <row r="67" spans="1:10" ht="27.6">
      <c r="A67" s="2254"/>
      <c r="B67" s="2254"/>
      <c r="C67" s="2254"/>
      <c r="D67" s="2254"/>
      <c r="E67" s="1165" t="s">
        <v>1204</v>
      </c>
      <c r="F67" s="2122" t="s">
        <v>1253</v>
      </c>
      <c r="G67" s="2272"/>
      <c r="H67" s="866" t="s">
        <v>1254</v>
      </c>
      <c r="I67" s="866" t="s">
        <v>1255</v>
      </c>
      <c r="J67" s="1170" t="s">
        <v>1256</v>
      </c>
    </row>
    <row r="68" spans="1:10" s="114" customFormat="1" ht="19.95" customHeight="1" thickBot="1">
      <c r="A68" s="2254"/>
      <c r="B68" s="2254"/>
      <c r="C68" s="2254"/>
      <c r="D68" s="2255"/>
      <c r="E68" s="1441" t="s">
        <v>1257</v>
      </c>
      <c r="F68" s="2289" t="s">
        <v>1258</v>
      </c>
      <c r="G68" s="2290"/>
      <c r="H68" s="1441" t="s">
        <v>1215</v>
      </c>
      <c r="I68" s="1441" t="s">
        <v>1217</v>
      </c>
      <c r="J68" s="1441" t="s">
        <v>1259</v>
      </c>
    </row>
    <row r="69" spans="1:10" ht="13.8" thickBot="1">
      <c r="A69" s="2253" t="s">
        <v>1219</v>
      </c>
      <c r="B69" s="2253" t="s">
        <v>1219</v>
      </c>
      <c r="C69" s="1504" t="s">
        <v>1220</v>
      </c>
      <c r="D69" s="1485"/>
      <c r="E69" s="1443"/>
      <c r="F69" s="2262"/>
      <c r="G69" s="2262"/>
      <c r="H69" s="1445"/>
      <c r="I69" s="1445"/>
      <c r="J69" s="1444"/>
    </row>
    <row r="70" spans="1:10" ht="13.8" thickBot="1">
      <c r="A70" s="2254"/>
      <c r="B70" s="2254"/>
      <c r="C70" s="1110" t="s">
        <v>1260</v>
      </c>
      <c r="D70" s="1746"/>
      <c r="E70" s="1247"/>
      <c r="F70" s="2258">
        <v>3.11</v>
      </c>
      <c r="G70" s="2259"/>
      <c r="H70" s="1131">
        <v>0.37</v>
      </c>
      <c r="I70" s="1131">
        <v>0.54</v>
      </c>
      <c r="J70" s="1142">
        <f>IFERROR(E70*F70*(1+H70)*I70,0)</f>
        <v>0</v>
      </c>
    </row>
    <row r="71" spans="1:10" ht="13.8" thickBot="1">
      <c r="A71" s="2254"/>
      <c r="B71" s="2254"/>
      <c r="C71" s="1110" t="s">
        <v>1261</v>
      </c>
      <c r="D71" s="1746"/>
      <c r="E71" s="1248"/>
      <c r="F71" s="2258">
        <v>3.11</v>
      </c>
      <c r="G71" s="2259"/>
      <c r="H71" s="1131">
        <v>0.24</v>
      </c>
      <c r="I71" s="1131">
        <v>0.52</v>
      </c>
      <c r="J71" s="1142">
        <f>IFERROR(E71*F71*(1+H71)*I71,0)</f>
        <v>0</v>
      </c>
    </row>
    <row r="72" spans="1:10" ht="13.8" thickBot="1">
      <c r="A72" s="2254"/>
      <c r="B72" s="2254"/>
      <c r="C72" s="1110" t="s">
        <v>1262</v>
      </c>
      <c r="D72" s="1746"/>
      <c r="E72" s="1247"/>
      <c r="F72" s="2258">
        <v>3.11</v>
      </c>
      <c r="G72" s="2259"/>
      <c r="H72" s="1131">
        <v>0.28000000000000003</v>
      </c>
      <c r="I72" s="1131">
        <v>0.49</v>
      </c>
      <c r="J72" s="1142">
        <f>IFERROR(E72*F72*(1+H72)*I72,0)</f>
        <v>0</v>
      </c>
    </row>
    <row r="73" spans="1:10" ht="13.8" thickBot="1">
      <c r="A73" s="2254"/>
      <c r="B73" s="2254"/>
      <c r="C73" s="1110" t="s">
        <v>1263</v>
      </c>
      <c r="D73" s="1746"/>
      <c r="E73" s="1249"/>
      <c r="F73" s="2258">
        <v>3.11</v>
      </c>
      <c r="G73" s="2259"/>
      <c r="H73" s="1131">
        <v>0.27</v>
      </c>
      <c r="I73" s="1131">
        <v>0.47</v>
      </c>
      <c r="J73" s="1142">
        <f>IFERROR(E73*F73*(1+H73)*I73,0)</f>
        <v>0</v>
      </c>
    </row>
    <row r="74" spans="1:10" ht="13.8" thickBot="1">
      <c r="A74" s="2254"/>
      <c r="B74" s="2254"/>
      <c r="C74" s="1110" t="s">
        <v>1264</v>
      </c>
      <c r="D74" s="1746"/>
      <c r="E74" s="1247"/>
      <c r="F74" s="2258">
        <v>3.11</v>
      </c>
      <c r="G74" s="2259"/>
      <c r="H74" s="1132">
        <v>0.49</v>
      </c>
      <c r="I74" s="1131">
        <v>0.55000000000000004</v>
      </c>
      <c r="J74" s="1142">
        <f>IFERROR(E74*F74*(1+H74)*I74,0)</f>
        <v>0</v>
      </c>
    </row>
    <row r="75" spans="1:10" ht="13.8" thickBot="1">
      <c r="A75" s="2254"/>
      <c r="B75" s="2254"/>
      <c r="C75" s="2263" t="s">
        <v>1230</v>
      </c>
      <c r="D75" s="2263"/>
      <c r="E75" s="1431">
        <f>SUM(E70:E74)</f>
        <v>0</v>
      </c>
      <c r="F75" s="2260"/>
      <c r="G75" s="2261"/>
      <c r="H75" s="1133"/>
      <c r="I75" s="1134"/>
      <c r="J75" s="1428">
        <f>SUM(J70:J74)</f>
        <v>0</v>
      </c>
    </row>
    <row r="76" spans="1:10" ht="13.8" thickBot="1">
      <c r="A76" s="2254"/>
      <c r="B76" s="2254"/>
      <c r="C76" s="1504" t="s">
        <v>1231</v>
      </c>
      <c r="D76" s="1485"/>
      <c r="E76" s="1443"/>
      <c r="F76" s="2262"/>
      <c r="G76" s="2262"/>
      <c r="H76" s="1445"/>
      <c r="I76" s="1445"/>
      <c r="J76" s="1444"/>
    </row>
    <row r="77" spans="1:10" ht="13.8" thickBot="1">
      <c r="A77" s="2254"/>
      <c r="B77" s="2254"/>
      <c r="C77" s="1110" t="s">
        <v>1232</v>
      </c>
      <c r="D77" s="1746"/>
      <c r="E77" s="1246"/>
      <c r="F77" s="2258">
        <v>3.11</v>
      </c>
      <c r="G77" s="2259"/>
      <c r="H77" s="1131">
        <v>0.39</v>
      </c>
      <c r="I77" s="1136">
        <v>0.49880000000000002</v>
      </c>
      <c r="J77" s="1142">
        <f t="shared" ref="J77:J82" si="6">E77*F77*(1+H77)*I77</f>
        <v>0</v>
      </c>
    </row>
    <row r="78" spans="1:10" ht="13.8" thickBot="1">
      <c r="A78" s="2254"/>
      <c r="B78" s="2254"/>
      <c r="C78" s="1110" t="s">
        <v>1233</v>
      </c>
      <c r="D78" s="1746"/>
      <c r="E78" s="1246"/>
      <c r="F78" s="2258">
        <v>3.11</v>
      </c>
      <c r="G78" s="2259"/>
      <c r="H78" s="1131">
        <v>0.27</v>
      </c>
      <c r="I78" s="1136">
        <v>0.48130000000000001</v>
      </c>
      <c r="J78" s="1142">
        <f t="shared" si="6"/>
        <v>0</v>
      </c>
    </row>
    <row r="79" spans="1:10" ht="13.8" thickBot="1">
      <c r="A79" s="2254"/>
      <c r="B79" s="2254"/>
      <c r="C79" s="1110" t="s">
        <v>1234</v>
      </c>
      <c r="D79" s="1746"/>
      <c r="E79" s="1246"/>
      <c r="F79" s="2258">
        <v>3.11</v>
      </c>
      <c r="G79" s="2259"/>
      <c r="H79" s="1131">
        <v>0.24</v>
      </c>
      <c r="I79" s="1137">
        <v>0.47</v>
      </c>
      <c r="J79" s="1142">
        <f t="shared" si="6"/>
        <v>0</v>
      </c>
    </row>
    <row r="80" spans="1:10" ht="13.8" thickBot="1">
      <c r="A80" s="2254"/>
      <c r="B80" s="2254"/>
      <c r="C80" s="1110" t="s">
        <v>1235</v>
      </c>
      <c r="D80" s="1746"/>
      <c r="E80" s="1246"/>
      <c r="F80" s="2258">
        <v>3.11</v>
      </c>
      <c r="G80" s="2259"/>
      <c r="H80" s="1131">
        <v>0.48</v>
      </c>
      <c r="I80" s="1136">
        <v>0.47149999999999997</v>
      </c>
      <c r="J80" s="1142">
        <f t="shared" si="6"/>
        <v>0</v>
      </c>
    </row>
    <row r="81" spans="1:11" ht="13.8" thickBot="1">
      <c r="A81" s="2254"/>
      <c r="B81" s="2254"/>
      <c r="C81" s="1138" t="s">
        <v>1236</v>
      </c>
      <c r="D81" s="1746"/>
      <c r="E81" s="1683">
        <f>E52</f>
        <v>0</v>
      </c>
      <c r="F81" s="2258">
        <v>3.11</v>
      </c>
      <c r="G81" s="2259"/>
      <c r="H81" s="1131">
        <v>0.26</v>
      </c>
      <c r="I81" s="1136">
        <v>0.4733</v>
      </c>
      <c r="J81" s="1142">
        <f>E81*F81*(1+H81)*I81</f>
        <v>0</v>
      </c>
    </row>
    <row r="82" spans="1:11" ht="13.8" thickBot="1">
      <c r="A82" s="2254"/>
      <c r="B82" s="2254"/>
      <c r="C82" s="1110" t="s">
        <v>1237</v>
      </c>
      <c r="D82" s="1746"/>
      <c r="E82" s="1247"/>
      <c r="F82" s="2258">
        <v>3.11</v>
      </c>
      <c r="G82" s="2259"/>
      <c r="H82" s="1131">
        <v>0.24</v>
      </c>
      <c r="I82" s="1137">
        <v>0.47</v>
      </c>
      <c r="J82" s="1142">
        <f t="shared" si="6"/>
        <v>0</v>
      </c>
    </row>
    <row r="83" spans="1:11" ht="13.8" thickBot="1">
      <c r="A83" s="2255"/>
      <c r="B83" s="2255"/>
      <c r="C83" s="2263" t="s">
        <v>1230</v>
      </c>
      <c r="D83" s="2263"/>
      <c r="E83" s="1431">
        <f>SUM(E77:E82)</f>
        <v>0</v>
      </c>
      <c r="F83" s="2260"/>
      <c r="G83" s="2261"/>
      <c r="H83" s="1134"/>
      <c r="I83" s="1134"/>
      <c r="J83" s="1428">
        <f>SUM(J77:J82)</f>
        <v>0</v>
      </c>
    </row>
    <row r="84" spans="1:11" ht="13.8" thickBot="1">
      <c r="A84" s="2233" t="s">
        <v>250</v>
      </c>
      <c r="B84" s="2234"/>
      <c r="C84" s="2234"/>
      <c r="D84" s="2234"/>
      <c r="E84" s="1435">
        <f>E75+E83</f>
        <v>0</v>
      </c>
      <c r="F84" s="2256"/>
      <c r="G84" s="2257"/>
      <c r="H84" s="1129"/>
      <c r="I84" s="1129"/>
      <c r="J84" s="1427">
        <f>J75+J83</f>
        <v>0</v>
      </c>
    </row>
    <row r="86" spans="1:11" ht="14.1" customHeight="1" thickBot="1">
      <c r="A86" s="496" t="s">
        <v>1265</v>
      </c>
      <c r="B86" s="496"/>
      <c r="C86" s="496"/>
      <c r="D86" s="496"/>
      <c r="E86" s="496"/>
      <c r="F86" s="496"/>
      <c r="G86" s="496"/>
      <c r="H86" s="496"/>
      <c r="I86" s="496"/>
      <c r="J86" s="496"/>
      <c r="K86" s="496"/>
    </row>
    <row r="87" spans="1:11" ht="13.8" thickBot="1">
      <c r="A87" s="2270" t="s">
        <v>1183</v>
      </c>
      <c r="B87" s="2271"/>
      <c r="C87" s="498" t="s">
        <v>1184</v>
      </c>
      <c r="D87" s="2236" t="s">
        <v>1266</v>
      </c>
      <c r="E87" s="2237"/>
      <c r="F87" s="2237"/>
      <c r="G87" s="2237"/>
      <c r="H87" s="2237"/>
      <c r="I87" s="2237"/>
      <c r="J87" s="2237"/>
      <c r="K87" s="2237"/>
    </row>
    <row r="88" spans="1:11">
      <c r="A88" s="2122" t="s">
        <v>1187</v>
      </c>
      <c r="B88" s="2272"/>
      <c r="C88" s="2253" t="s">
        <v>1188</v>
      </c>
      <c r="D88" s="2253" t="s">
        <v>2434</v>
      </c>
      <c r="E88" s="2274" t="s">
        <v>1267</v>
      </c>
      <c r="F88" s="2274" t="s">
        <v>1268</v>
      </c>
      <c r="G88" s="2274" t="s">
        <v>1191</v>
      </c>
      <c r="H88" s="2274" t="s">
        <v>1269</v>
      </c>
      <c r="I88" s="2274" t="s">
        <v>1270</v>
      </c>
      <c r="J88" s="2274" t="s">
        <v>1193</v>
      </c>
      <c r="K88" s="2274" t="s">
        <v>1271</v>
      </c>
    </row>
    <row r="89" spans="1:11" ht="13.8" thickBot="1">
      <c r="A89" s="2120"/>
      <c r="B89" s="2273"/>
      <c r="C89" s="2254"/>
      <c r="D89" s="2254"/>
      <c r="E89" s="2275"/>
      <c r="F89" s="2275"/>
      <c r="G89" s="2275"/>
      <c r="H89" s="2275"/>
      <c r="I89" s="2275"/>
      <c r="J89" s="2275"/>
      <c r="K89" s="2275"/>
    </row>
    <row r="90" spans="1:11">
      <c r="A90" s="2253" t="s">
        <v>1195</v>
      </c>
      <c r="B90" s="2253" t="s">
        <v>1196</v>
      </c>
      <c r="C90" s="2254"/>
      <c r="D90" s="2254"/>
      <c r="E90" s="2253" t="s">
        <v>1248</v>
      </c>
      <c r="F90" s="866" t="s">
        <v>1249</v>
      </c>
      <c r="G90" s="866" t="s">
        <v>1250</v>
      </c>
      <c r="H90" s="2253" t="s">
        <v>1248</v>
      </c>
      <c r="I90" s="2253" t="s">
        <v>1272</v>
      </c>
      <c r="J90" s="866" t="s">
        <v>1200</v>
      </c>
      <c r="K90" s="2253" t="s">
        <v>1201</v>
      </c>
    </row>
    <row r="91" spans="1:11" ht="15" thickBot="1">
      <c r="A91" s="2254"/>
      <c r="B91" s="2254"/>
      <c r="C91" s="2254"/>
      <c r="D91" s="2254"/>
      <c r="E91" s="2255"/>
      <c r="F91" s="1109" t="s">
        <v>1251</v>
      </c>
      <c r="G91" s="1109" t="s">
        <v>1252</v>
      </c>
      <c r="H91" s="2255"/>
      <c r="I91" s="2255"/>
      <c r="J91" s="1109" t="s">
        <v>1203</v>
      </c>
      <c r="K91" s="2255"/>
    </row>
    <row r="92" spans="1:11" ht="29.4" thickBot="1">
      <c r="A92" s="2254"/>
      <c r="B92" s="2254"/>
      <c r="C92" s="2254"/>
      <c r="D92" s="2254"/>
      <c r="E92" s="1170" t="s">
        <v>1273</v>
      </c>
      <c r="F92" s="1170" t="s">
        <v>1253</v>
      </c>
      <c r="G92" s="866" t="s">
        <v>1254</v>
      </c>
      <c r="H92" s="1170" t="s">
        <v>1273</v>
      </c>
      <c r="I92" s="1170" t="s">
        <v>1274</v>
      </c>
      <c r="J92" s="866" t="s">
        <v>1255</v>
      </c>
      <c r="K92" s="1139" t="s">
        <v>1275</v>
      </c>
    </row>
    <row r="93" spans="1:11" ht="15" thickBot="1">
      <c r="A93" s="2254"/>
      <c r="B93" s="2254"/>
      <c r="C93" s="2254"/>
      <c r="D93" s="2254"/>
      <c r="E93" s="1441" t="s">
        <v>1276</v>
      </c>
      <c r="F93" s="1441" t="s">
        <v>1258</v>
      </c>
      <c r="G93" s="1441" t="s">
        <v>1215</v>
      </c>
      <c r="H93" s="1441" t="s">
        <v>1277</v>
      </c>
      <c r="I93" s="1441" t="s">
        <v>1278</v>
      </c>
      <c r="J93" s="490" t="s">
        <v>1217</v>
      </c>
      <c r="K93" s="1438" t="s">
        <v>1279</v>
      </c>
    </row>
    <row r="94" spans="1:11" ht="13.8" thickBot="1">
      <c r="A94" s="2253" t="s">
        <v>1219</v>
      </c>
      <c r="B94" s="2293" t="s">
        <v>1219</v>
      </c>
      <c r="C94" s="1492" t="s">
        <v>1220</v>
      </c>
      <c r="D94" s="1487"/>
      <c r="E94" s="1445"/>
      <c r="F94" s="1445"/>
      <c r="G94" s="1445"/>
      <c r="H94" s="1445"/>
      <c r="I94" s="1503"/>
      <c r="J94" s="1503"/>
      <c r="K94" s="1446"/>
    </row>
    <row r="95" spans="1:11" ht="13.8" thickBot="1">
      <c r="A95" s="2254"/>
      <c r="B95" s="2254"/>
      <c r="C95" s="1447" t="s">
        <v>1260</v>
      </c>
      <c r="D95" s="1746"/>
      <c r="E95" s="1327"/>
      <c r="F95" s="963"/>
      <c r="G95" s="963"/>
      <c r="H95" s="963"/>
      <c r="I95" s="964"/>
      <c r="J95" s="964"/>
      <c r="K95" s="968"/>
    </row>
    <row r="96" spans="1:11" ht="13.8" thickBot="1">
      <c r="A96" s="2254"/>
      <c r="B96" s="2254"/>
      <c r="C96" s="1447" t="s">
        <v>1261</v>
      </c>
      <c r="D96" s="1746"/>
      <c r="E96" s="1327"/>
      <c r="F96" s="963"/>
      <c r="G96" s="963"/>
      <c r="H96" s="963"/>
      <c r="I96" s="964"/>
      <c r="J96" s="964"/>
      <c r="K96" s="968"/>
    </row>
    <row r="97" spans="1:11" ht="13.8" thickBot="1">
      <c r="A97" s="2254"/>
      <c r="B97" s="2254"/>
      <c r="C97" s="1447" t="s">
        <v>1262</v>
      </c>
      <c r="D97" s="1746"/>
      <c r="E97" s="1327"/>
      <c r="F97" s="963"/>
      <c r="G97" s="963"/>
      <c r="H97" s="963"/>
      <c r="I97" s="964"/>
      <c r="J97" s="964"/>
      <c r="K97" s="968"/>
    </row>
    <row r="98" spans="1:11" ht="13.8" thickBot="1">
      <c r="A98" s="2254"/>
      <c r="B98" s="2254"/>
      <c r="C98" s="1447" t="s">
        <v>1263</v>
      </c>
      <c r="D98" s="1746"/>
      <c r="E98" s="1327"/>
      <c r="F98" s="963"/>
      <c r="G98" s="963"/>
      <c r="H98" s="963"/>
      <c r="I98" s="964"/>
      <c r="J98" s="964"/>
      <c r="K98" s="968"/>
    </row>
    <row r="99" spans="1:11" ht="13.8" thickBot="1">
      <c r="A99" s="2254"/>
      <c r="B99" s="2254"/>
      <c r="C99" s="1447" t="s">
        <v>1264</v>
      </c>
      <c r="D99" s="1746"/>
      <c r="E99" s="1327"/>
      <c r="F99" s="963"/>
      <c r="G99" s="964"/>
      <c r="H99" s="963"/>
      <c r="I99" s="964"/>
      <c r="J99" s="964"/>
      <c r="K99" s="968"/>
    </row>
    <row r="100" spans="1:11" ht="13.8" thickBot="1">
      <c r="A100" s="2254"/>
      <c r="B100" s="2254"/>
      <c r="C100" s="2247" t="s">
        <v>1230</v>
      </c>
      <c r="D100" s="2248"/>
      <c r="E100" s="1449">
        <f>SUM(E95:E99)</f>
        <v>0</v>
      </c>
      <c r="F100" s="1450"/>
      <c r="G100" s="1451"/>
      <c r="H100" s="1450"/>
      <c r="I100" s="1452"/>
      <c r="J100" s="1452"/>
      <c r="K100" s="1685">
        <f>SUM(K95:K99)</f>
        <v>0</v>
      </c>
    </row>
    <row r="101" spans="1:11" ht="13.8" thickBot="1">
      <c r="A101" s="2254"/>
      <c r="B101" s="2254"/>
      <c r="C101" s="1492" t="s">
        <v>1231</v>
      </c>
      <c r="D101" s="1487"/>
      <c r="E101" s="1445"/>
      <c r="F101" s="1445"/>
      <c r="G101" s="1445"/>
      <c r="H101" s="1445"/>
      <c r="I101" s="1503"/>
      <c r="J101" s="1503"/>
      <c r="K101" s="1446"/>
    </row>
    <row r="102" spans="1:11" ht="13.8" thickBot="1">
      <c r="A102" s="2254"/>
      <c r="B102" s="2254"/>
      <c r="C102" s="1447" t="s">
        <v>1232</v>
      </c>
      <c r="D102" s="1746"/>
      <c r="E102" s="1315"/>
      <c r="F102" s="964"/>
      <c r="G102" s="963"/>
      <c r="H102" s="1453"/>
      <c r="I102" s="964"/>
      <c r="J102" s="964"/>
      <c r="K102" s="968"/>
    </row>
    <row r="103" spans="1:11" ht="13.8" thickBot="1">
      <c r="A103" s="2254"/>
      <c r="B103" s="2254"/>
      <c r="C103" s="1447" t="s">
        <v>1233</v>
      </c>
      <c r="D103" s="1746"/>
      <c r="E103" s="1315"/>
      <c r="F103" s="964"/>
      <c r="G103" s="963"/>
      <c r="H103" s="1453"/>
      <c r="I103" s="964"/>
      <c r="J103" s="964"/>
      <c r="K103" s="968"/>
    </row>
    <row r="104" spans="1:11" ht="13.8" thickBot="1">
      <c r="A104" s="2254"/>
      <c r="B104" s="2254"/>
      <c r="C104" s="1447" t="s">
        <v>1234</v>
      </c>
      <c r="D104" s="1746"/>
      <c r="E104" s="1315"/>
      <c r="F104" s="964"/>
      <c r="G104" s="963"/>
      <c r="H104" s="1448"/>
      <c r="I104" s="964"/>
      <c r="J104" s="964"/>
      <c r="K104" s="968"/>
    </row>
    <row r="105" spans="1:11" ht="13.8" thickBot="1">
      <c r="A105" s="2254"/>
      <c r="B105" s="2254"/>
      <c r="C105" s="1447" t="s">
        <v>1235</v>
      </c>
      <c r="D105" s="1746"/>
      <c r="E105" s="1315"/>
      <c r="F105" s="964"/>
      <c r="G105" s="963"/>
      <c r="H105" s="1453"/>
      <c r="I105" s="964"/>
      <c r="J105" s="964"/>
      <c r="K105" s="968"/>
    </row>
    <row r="106" spans="1:11" ht="13.8" thickBot="1">
      <c r="A106" s="2254"/>
      <c r="B106" s="2254"/>
      <c r="C106" s="1454" t="s">
        <v>1236</v>
      </c>
      <c r="D106" s="1746"/>
      <c r="E106" s="1315"/>
      <c r="F106" s="964"/>
      <c r="G106" s="963"/>
      <c r="H106" s="1453"/>
      <c r="I106" s="964"/>
      <c r="J106" s="964"/>
      <c r="K106" s="968"/>
    </row>
    <row r="107" spans="1:11" ht="13.8" thickBot="1">
      <c r="A107" s="2254"/>
      <c r="B107" s="2254"/>
      <c r="C107" s="1447" t="s">
        <v>1237</v>
      </c>
      <c r="D107" s="1746"/>
      <c r="E107" s="1315"/>
      <c r="F107" s="964"/>
      <c r="G107" s="963"/>
      <c r="H107" s="1448"/>
      <c r="I107" s="964"/>
      <c r="J107" s="964"/>
      <c r="K107" s="968"/>
    </row>
    <row r="108" spans="1:11" ht="13.8" thickBot="1">
      <c r="A108" s="2255"/>
      <c r="B108" s="2255"/>
      <c r="C108" s="2247" t="s">
        <v>1230</v>
      </c>
      <c r="D108" s="2248"/>
      <c r="E108" s="1684">
        <f>SUM(E102:E107)</f>
        <v>0</v>
      </c>
      <c r="F108" s="2260"/>
      <c r="G108" s="2261"/>
      <c r="H108" s="1450"/>
      <c r="I108" s="1450"/>
      <c r="J108" s="1450"/>
      <c r="K108" s="1685">
        <f>SUM(K102:K107)</f>
        <v>0</v>
      </c>
    </row>
    <row r="109" spans="1:11" ht="13.8" thickBot="1">
      <c r="A109" s="2233" t="s">
        <v>250</v>
      </c>
      <c r="B109" s="2234"/>
      <c r="C109" s="2234"/>
      <c r="D109" s="2235"/>
      <c r="E109" s="1455">
        <f>SUM(E95:E99,E102:E107)</f>
        <v>0</v>
      </c>
      <c r="F109" s="1129"/>
      <c r="G109" s="1129"/>
      <c r="H109" s="1129"/>
      <c r="I109" s="1129"/>
      <c r="J109" s="1456"/>
      <c r="K109" s="1427">
        <f>SUM(K100+K108)</f>
        <v>0</v>
      </c>
    </row>
    <row r="111" spans="1:11" ht="13.5" customHeight="1" thickBot="1">
      <c r="A111" s="496" t="s">
        <v>1280</v>
      </c>
      <c r="B111" s="496"/>
      <c r="C111" s="496"/>
      <c r="D111" s="496"/>
      <c r="E111" s="496"/>
      <c r="F111" s="496"/>
      <c r="G111" s="496"/>
      <c r="H111" s="496"/>
      <c r="I111" s="496"/>
      <c r="J111" s="496"/>
    </row>
    <row r="112" spans="1:11" ht="13.8" thickBot="1">
      <c r="A112" s="2270" t="s">
        <v>1183</v>
      </c>
      <c r="B112" s="2271"/>
      <c r="C112" s="498" t="s">
        <v>1184</v>
      </c>
      <c r="D112" s="2244" t="s">
        <v>1281</v>
      </c>
      <c r="E112" s="2245"/>
      <c r="F112" s="2245"/>
      <c r="G112" s="2245"/>
      <c r="H112" s="2246"/>
      <c r="I112" s="2236" t="s">
        <v>1282</v>
      </c>
      <c r="J112" s="2237"/>
    </row>
    <row r="113" spans="1:11" ht="27" thickBot="1">
      <c r="A113" s="2268" t="s">
        <v>1187</v>
      </c>
      <c r="B113" s="2269"/>
      <c r="C113" s="2253" t="s">
        <v>1188</v>
      </c>
      <c r="D113" s="2253" t="s">
        <v>2434</v>
      </c>
      <c r="E113" s="1108" t="s">
        <v>1283</v>
      </c>
      <c r="F113" s="1108" t="s">
        <v>1284</v>
      </c>
      <c r="G113" s="1108" t="s">
        <v>1191</v>
      </c>
      <c r="H113" s="1108" t="s">
        <v>1193</v>
      </c>
      <c r="I113" s="1108" t="s">
        <v>1285</v>
      </c>
      <c r="J113" s="489" t="s">
        <v>1286</v>
      </c>
    </row>
    <row r="114" spans="1:11" ht="12.75" customHeight="1">
      <c r="A114" s="2253" t="s">
        <v>1195</v>
      </c>
      <c r="B114" s="2253" t="s">
        <v>1196</v>
      </c>
      <c r="C114" s="2254"/>
      <c r="D114" s="2254"/>
      <c r="E114" s="2253" t="s">
        <v>1287</v>
      </c>
      <c r="F114" s="2253" t="s">
        <v>1288</v>
      </c>
      <c r="G114" s="866" t="s">
        <v>1250</v>
      </c>
      <c r="H114" s="866" t="s">
        <v>1200</v>
      </c>
      <c r="I114" s="866" t="s">
        <v>1289</v>
      </c>
      <c r="J114" s="2253" t="s">
        <v>1201</v>
      </c>
    </row>
    <row r="115" spans="1:11" ht="15" thickBot="1">
      <c r="A115" s="2254"/>
      <c r="B115" s="2254"/>
      <c r="C115" s="2254"/>
      <c r="D115" s="2254"/>
      <c r="E115" s="2255"/>
      <c r="F115" s="2255"/>
      <c r="G115" s="1109" t="s">
        <v>1252</v>
      </c>
      <c r="H115" s="1109" t="s">
        <v>1203</v>
      </c>
      <c r="I115" s="1109" t="s">
        <v>1290</v>
      </c>
      <c r="J115" s="2255"/>
    </row>
    <row r="116" spans="1:11" ht="27" customHeight="1">
      <c r="A116" s="2254"/>
      <c r="B116" s="2254"/>
      <c r="C116" s="2254"/>
      <c r="D116" s="2254"/>
      <c r="E116" s="2253" t="s">
        <v>1204</v>
      </c>
      <c r="F116" s="2253" t="s">
        <v>1291</v>
      </c>
      <c r="G116" s="866" t="s">
        <v>1254</v>
      </c>
      <c r="H116" s="866" t="s">
        <v>1255</v>
      </c>
      <c r="I116" s="2253" t="s">
        <v>1292</v>
      </c>
      <c r="J116" s="490" t="s">
        <v>1293</v>
      </c>
    </row>
    <row r="117" spans="1:11" ht="15" thickBot="1">
      <c r="A117" s="2254"/>
      <c r="B117" s="2254"/>
      <c r="C117" s="2254"/>
      <c r="D117" s="2254"/>
      <c r="E117" s="2255"/>
      <c r="F117" s="2255"/>
      <c r="G117" s="1109"/>
      <c r="H117" s="1109"/>
      <c r="I117" s="2255"/>
      <c r="J117" s="1140" t="s">
        <v>1294</v>
      </c>
      <c r="K117" s="1846"/>
    </row>
    <row r="118" spans="1:11" ht="15" thickBot="1">
      <c r="A118" s="2254"/>
      <c r="B118" s="2254"/>
      <c r="C118" s="2254"/>
      <c r="D118" s="2255"/>
      <c r="E118" s="1438" t="s">
        <v>1295</v>
      </c>
      <c r="F118" s="1438" t="s">
        <v>1296</v>
      </c>
      <c r="G118" s="1438" t="s">
        <v>1215</v>
      </c>
      <c r="H118" s="1438" t="s">
        <v>1217</v>
      </c>
      <c r="I118" s="1438" t="s">
        <v>1297</v>
      </c>
      <c r="J118" s="1438" t="s">
        <v>1298</v>
      </c>
      <c r="K118" s="1846"/>
    </row>
    <row r="119" spans="1:11" ht="13.8" thickBot="1">
      <c r="A119" s="2253" t="s">
        <v>1219</v>
      </c>
      <c r="B119" s="2253" t="s">
        <v>1219</v>
      </c>
      <c r="C119" s="1492" t="s">
        <v>1220</v>
      </c>
      <c r="D119" s="1487"/>
      <c r="E119" s="1445"/>
      <c r="F119" s="1445"/>
      <c r="G119" s="1445"/>
      <c r="H119" s="1445"/>
      <c r="I119" s="1503"/>
      <c r="J119" s="1503"/>
      <c r="K119" s="1847"/>
    </row>
    <row r="120" spans="1:11" ht="13.8" thickBot="1">
      <c r="A120" s="2254"/>
      <c r="B120" s="2254"/>
      <c r="C120" s="1110" t="s">
        <v>1260</v>
      </c>
      <c r="D120" s="1746"/>
      <c r="E120" s="1244"/>
      <c r="F120" s="1131">
        <v>280</v>
      </c>
      <c r="G120" s="1131">
        <v>0.37</v>
      </c>
      <c r="H120" s="1131">
        <v>0.54</v>
      </c>
      <c r="I120" s="1116">
        <f>E120*F120*(1+G120)*H120*1</f>
        <v>0</v>
      </c>
      <c r="J120" s="1565"/>
      <c r="K120" s="1848"/>
    </row>
    <row r="121" spans="1:11" ht="13.8" thickBot="1">
      <c r="A121" s="2254"/>
      <c r="B121" s="2254"/>
      <c r="C121" s="1110" t="s">
        <v>1261</v>
      </c>
      <c r="D121" s="1486"/>
      <c r="E121" s="1686">
        <f>G14+G17</f>
        <v>0</v>
      </c>
      <c r="F121" s="1131">
        <v>180</v>
      </c>
      <c r="G121" s="1131">
        <v>0.24</v>
      </c>
      <c r="H121" s="1131">
        <v>0.52</v>
      </c>
      <c r="I121" s="1116">
        <f>E121*F121*(1+G121)*H121*1</f>
        <v>0</v>
      </c>
      <c r="J121" s="1565"/>
      <c r="K121" s="1848"/>
    </row>
    <row r="122" spans="1:11" ht="13.8" thickBot="1">
      <c r="A122" s="2254"/>
      <c r="B122" s="2254"/>
      <c r="C122" s="1110" t="s">
        <v>1262</v>
      </c>
      <c r="D122" s="1746"/>
      <c r="E122" s="1244"/>
      <c r="F122" s="1131">
        <v>130</v>
      </c>
      <c r="G122" s="1131">
        <v>0.28000000000000003</v>
      </c>
      <c r="H122" s="1131">
        <v>0.49</v>
      </c>
      <c r="I122" s="1116">
        <f>E122*F122*(1+G122)*H122*1</f>
        <v>0</v>
      </c>
      <c r="J122" s="1565"/>
      <c r="K122" s="1848"/>
    </row>
    <row r="123" spans="1:11" ht="13.8" thickBot="1">
      <c r="A123" s="2254"/>
      <c r="B123" s="2254"/>
      <c r="C123" s="1110" t="s">
        <v>1263</v>
      </c>
      <c r="D123" s="1746"/>
      <c r="E123" s="1244"/>
      <c r="F123" s="1131">
        <v>135</v>
      </c>
      <c r="G123" s="1131">
        <v>0.27</v>
      </c>
      <c r="H123" s="1131">
        <v>0.47</v>
      </c>
      <c r="I123" s="1116">
        <f>E123*F123*(1+G123)*H123*1</f>
        <v>0</v>
      </c>
      <c r="J123" s="1565"/>
      <c r="K123" s="1848"/>
    </row>
    <row r="124" spans="1:11" ht="13.8" thickBot="1">
      <c r="A124" s="2254"/>
      <c r="B124" s="2254"/>
      <c r="C124" s="1110" t="s">
        <v>1264</v>
      </c>
      <c r="D124" s="1746"/>
      <c r="E124" s="1244"/>
      <c r="F124" s="1132">
        <v>142</v>
      </c>
      <c r="G124" s="1132">
        <v>0.49</v>
      </c>
      <c r="H124" s="1131">
        <v>0.55000000000000004</v>
      </c>
      <c r="I124" s="1116">
        <f>E124*F124*(1+G124)*H124*1</f>
        <v>0</v>
      </c>
      <c r="J124" s="1565"/>
      <c r="K124" s="1848"/>
    </row>
    <row r="125" spans="1:11" ht="13.8" thickBot="1">
      <c r="A125" s="2254"/>
      <c r="B125" s="2254"/>
      <c r="C125" s="2247" t="s">
        <v>1230</v>
      </c>
      <c r="D125" s="2248"/>
      <c r="E125" s="1120">
        <f>SUM(E120:E124)</f>
        <v>0</v>
      </c>
      <c r="F125" s="1124"/>
      <c r="G125" s="1122"/>
      <c r="H125" s="1124"/>
      <c r="I125" s="1120">
        <f>SUM(I120:I124)</f>
        <v>0</v>
      </c>
      <c r="J125" s="1566">
        <f>SUM(J120:J124)</f>
        <v>0</v>
      </c>
      <c r="K125" s="1849"/>
    </row>
    <row r="126" spans="1:11" ht="13.8" thickBot="1">
      <c r="A126" s="2254"/>
      <c r="B126" s="2254"/>
      <c r="C126" s="1492" t="s">
        <v>1231</v>
      </c>
      <c r="D126" s="1487"/>
      <c r="E126" s="1445"/>
      <c r="F126" s="1445"/>
      <c r="G126" s="1445"/>
      <c r="H126" s="1445"/>
      <c r="I126" s="1503"/>
      <c r="J126" s="1446"/>
      <c r="K126" s="1846"/>
    </row>
    <row r="127" spans="1:11" ht="13.8" thickBot="1">
      <c r="A127" s="2254"/>
      <c r="B127" s="2254"/>
      <c r="C127" s="1110" t="s">
        <v>1232</v>
      </c>
      <c r="D127" s="1746"/>
      <c r="E127" s="1244"/>
      <c r="F127" s="1131">
        <v>120</v>
      </c>
      <c r="G127" s="1131">
        <v>0.39</v>
      </c>
      <c r="H127" s="1136">
        <v>0.49880000000000002</v>
      </c>
      <c r="I127" s="1116">
        <f>E127*F127*(1+G127)*H127*1</f>
        <v>0</v>
      </c>
      <c r="J127" s="1565"/>
      <c r="K127" s="1848"/>
    </row>
    <row r="128" spans="1:11" ht="13.8" thickBot="1">
      <c r="A128" s="2254"/>
      <c r="B128" s="2254"/>
      <c r="C128" s="1110" t="s">
        <v>1233</v>
      </c>
      <c r="D128" s="1746"/>
      <c r="E128" s="1244"/>
      <c r="F128" s="1131">
        <v>120</v>
      </c>
      <c r="G128" s="1131">
        <v>0.27</v>
      </c>
      <c r="H128" s="1136">
        <v>0.48130000000000001</v>
      </c>
      <c r="I128" s="1116">
        <f>E128*F128*(1+G128)*H128*1</f>
        <v>0</v>
      </c>
      <c r="J128" s="1565"/>
      <c r="K128" s="1848"/>
    </row>
    <row r="129" spans="1:11" ht="13.8" thickBot="1">
      <c r="A129" s="2254"/>
      <c r="B129" s="2254"/>
      <c r="C129" s="1110" t="s">
        <v>1234</v>
      </c>
      <c r="D129" s="1746"/>
      <c r="E129" s="1244"/>
      <c r="F129" s="1131">
        <v>120</v>
      </c>
      <c r="G129" s="1131">
        <v>0.24</v>
      </c>
      <c r="H129" s="1137">
        <v>0.47</v>
      </c>
      <c r="I129" s="1116">
        <f>E129*F129*(1+G129)*H129*0.3</f>
        <v>0</v>
      </c>
      <c r="J129" s="1565"/>
      <c r="K129" s="1848"/>
    </row>
    <row r="130" spans="1:11" ht="13.8" thickBot="1">
      <c r="A130" s="2254"/>
      <c r="B130" s="2254"/>
      <c r="C130" s="1110" t="s">
        <v>1235</v>
      </c>
      <c r="D130" s="1746"/>
      <c r="E130" s="1245"/>
      <c r="F130" s="1131">
        <v>120</v>
      </c>
      <c r="G130" s="1131">
        <v>0.48</v>
      </c>
      <c r="H130" s="1136">
        <v>0.47149999999999997</v>
      </c>
      <c r="I130" s="1116">
        <f>E130*F130*(1+G130)*H130*0.3</f>
        <v>0</v>
      </c>
      <c r="J130" s="1565"/>
      <c r="K130" s="1848"/>
    </row>
    <row r="131" spans="1:11" ht="13.8" thickBot="1">
      <c r="A131" s="2254"/>
      <c r="B131" s="2254"/>
      <c r="C131" s="1110" t="s">
        <v>1236</v>
      </c>
      <c r="D131" s="1746"/>
      <c r="E131" s="1245"/>
      <c r="F131" s="1131">
        <v>120</v>
      </c>
      <c r="G131" s="1131">
        <v>0.26</v>
      </c>
      <c r="H131" s="1136">
        <v>0.4733</v>
      </c>
      <c r="I131" s="1116">
        <f>E131*F131*(1+G131)*H131*0.3</f>
        <v>0</v>
      </c>
      <c r="J131" s="1565"/>
      <c r="K131" s="1848"/>
    </row>
    <row r="132" spans="1:11" ht="13.8" thickBot="1">
      <c r="A132" s="2254"/>
      <c r="B132" s="2254"/>
      <c r="C132" s="1110" t="s">
        <v>1237</v>
      </c>
      <c r="D132" s="1746"/>
      <c r="E132" s="1244"/>
      <c r="F132" s="1131">
        <v>120</v>
      </c>
      <c r="G132" s="1131">
        <v>0.24</v>
      </c>
      <c r="H132" s="1137">
        <v>0.47</v>
      </c>
      <c r="I132" s="1116">
        <f>E132*F132*(1+G132)*H132*1</f>
        <v>0</v>
      </c>
      <c r="J132" s="1565"/>
      <c r="K132" s="1848"/>
    </row>
    <row r="133" spans="1:11" ht="13.8" thickBot="1">
      <c r="A133" s="2255"/>
      <c r="B133" s="2255"/>
      <c r="C133" s="2247" t="s">
        <v>1230</v>
      </c>
      <c r="D133" s="2248"/>
      <c r="E133" s="1120">
        <f>SUM(E127:E132)</f>
        <v>0</v>
      </c>
      <c r="F133" s="1124"/>
      <c r="G133" s="1122"/>
      <c r="H133" s="1124"/>
      <c r="I133" s="1120">
        <f>SUM(I127:I132)</f>
        <v>0</v>
      </c>
      <c r="J133" s="1566">
        <f>SUM(J127:J132)</f>
        <v>0</v>
      </c>
      <c r="K133" s="1849"/>
    </row>
    <row r="134" spans="1:11" ht="13.8" thickBot="1">
      <c r="A134" s="2233" t="s">
        <v>250</v>
      </c>
      <c r="B134" s="2234"/>
      <c r="C134" s="2234"/>
      <c r="D134" s="2235"/>
      <c r="E134" s="510">
        <f>E125+E133</f>
        <v>0</v>
      </c>
      <c r="F134" s="511"/>
      <c r="G134" s="511"/>
      <c r="H134" s="512"/>
      <c r="I134" s="1432">
        <f>I125+I133</f>
        <v>0</v>
      </c>
      <c r="J134" s="1432">
        <f>J125+J133</f>
        <v>0</v>
      </c>
      <c r="K134" s="1846"/>
    </row>
    <row r="135" spans="1:11">
      <c r="A135" s="2302" t="s">
        <v>1299</v>
      </c>
      <c r="B135" s="2302"/>
      <c r="C135" s="2302"/>
      <c r="D135" s="2302"/>
      <c r="E135" s="2302"/>
      <c r="F135" s="2302"/>
      <c r="G135" s="2302"/>
      <c r="H135" s="2302"/>
      <c r="I135" s="2302"/>
      <c r="K135" s="1846"/>
    </row>
    <row r="136" spans="1:11">
      <c r="K136" s="1846"/>
    </row>
    <row r="137" spans="1:11" ht="14.1" customHeight="1" thickBot="1">
      <c r="A137" s="496" t="s">
        <v>1300</v>
      </c>
      <c r="B137" s="496"/>
      <c r="C137" s="496"/>
      <c r="D137" s="496"/>
      <c r="E137" s="496"/>
      <c r="F137" s="496"/>
      <c r="G137" s="496"/>
    </row>
    <row r="138" spans="1:11" ht="13.8" thickBot="1">
      <c r="A138" s="2270" t="s">
        <v>1183</v>
      </c>
      <c r="B138" s="2271"/>
      <c r="C138" s="498" t="s">
        <v>1184</v>
      </c>
      <c r="D138" s="2244" t="s">
        <v>1301</v>
      </c>
      <c r="E138" s="2245"/>
      <c r="F138" s="2245"/>
      <c r="G138" s="2246"/>
    </row>
    <row r="139" spans="1:11" ht="27" thickBot="1">
      <c r="A139" s="2268" t="s">
        <v>1187</v>
      </c>
      <c r="B139" s="2269"/>
      <c r="C139" s="2253" t="s">
        <v>1188</v>
      </c>
      <c r="D139" s="2253" t="s">
        <v>2434</v>
      </c>
      <c r="E139" s="1108" t="s">
        <v>1302</v>
      </c>
      <c r="F139" s="1108" t="s">
        <v>1303</v>
      </c>
      <c r="G139" s="1108" t="s">
        <v>1304</v>
      </c>
    </row>
    <row r="140" spans="1:11" ht="15" thickBot="1">
      <c r="A140" s="2253" t="s">
        <v>1195</v>
      </c>
      <c r="B140" s="2253" t="s">
        <v>1196</v>
      </c>
      <c r="C140" s="2254"/>
      <c r="D140" s="2254"/>
      <c r="E140" s="1139" t="s">
        <v>1197</v>
      </c>
      <c r="F140" s="1139" t="s">
        <v>1305</v>
      </c>
      <c r="G140" s="1139" t="s">
        <v>1201</v>
      </c>
    </row>
    <row r="141" spans="1:11" ht="15" thickBot="1">
      <c r="A141" s="2254"/>
      <c r="B141" s="2254"/>
      <c r="C141" s="2254"/>
      <c r="D141" s="2254"/>
      <c r="E141" s="1139"/>
      <c r="F141" s="1139" t="s">
        <v>1306</v>
      </c>
      <c r="G141" s="1141" t="s">
        <v>1307</v>
      </c>
    </row>
    <row r="142" spans="1:11" ht="15" thickBot="1">
      <c r="A142" s="2278"/>
      <c r="B142" s="2278"/>
      <c r="C142" s="2254"/>
      <c r="D142" s="2254"/>
      <c r="E142" s="1505" t="s">
        <v>1213</v>
      </c>
      <c r="F142" s="1505" t="s">
        <v>886</v>
      </c>
      <c r="G142" s="1438" t="s">
        <v>1308</v>
      </c>
    </row>
    <row r="143" spans="1:11" ht="14.4" thickTop="1" thickBot="1">
      <c r="A143" s="2264" t="s">
        <v>1219</v>
      </c>
      <c r="B143" s="2301" t="s">
        <v>1219</v>
      </c>
      <c r="C143" s="1492" t="s">
        <v>1220</v>
      </c>
      <c r="D143" s="1487"/>
      <c r="E143" s="1506"/>
      <c r="F143" s="1507"/>
      <c r="G143" s="1439"/>
    </row>
    <row r="144" spans="1:11" ht="13.8" thickBot="1">
      <c r="A144" s="2254"/>
      <c r="B144" s="2254"/>
      <c r="C144" s="1110" t="s">
        <v>1260</v>
      </c>
      <c r="D144" s="1746"/>
      <c r="E144" s="1244"/>
      <c r="F144" s="1131">
        <v>1.36</v>
      </c>
      <c r="G144" s="1137">
        <f>E144*F144</f>
        <v>0</v>
      </c>
    </row>
    <row r="145" spans="1:13" ht="13.8" thickBot="1">
      <c r="A145" s="2254"/>
      <c r="B145" s="2254"/>
      <c r="C145" s="1110" t="s">
        <v>1261</v>
      </c>
      <c r="D145" s="1486"/>
      <c r="E145" s="1111">
        <f>E38+E39</f>
        <v>0</v>
      </c>
      <c r="F145" s="1131">
        <v>1.36</v>
      </c>
      <c r="G145" s="1137">
        <f>E145*F145</f>
        <v>0</v>
      </c>
    </row>
    <row r="146" spans="1:13" ht="13.8" thickBot="1">
      <c r="A146" s="2254"/>
      <c r="B146" s="2254"/>
      <c r="C146" s="1110" t="s">
        <v>1262</v>
      </c>
      <c r="D146" s="1746"/>
      <c r="E146" s="1244"/>
      <c r="F146" s="1131">
        <v>1.36</v>
      </c>
      <c r="G146" s="1137">
        <f>E146*F146</f>
        <v>0</v>
      </c>
    </row>
    <row r="147" spans="1:13" ht="13.8" thickBot="1">
      <c r="A147" s="2254"/>
      <c r="B147" s="2254"/>
      <c r="C147" s="1110" t="s">
        <v>1263</v>
      </c>
      <c r="D147" s="1746"/>
      <c r="E147" s="1244"/>
      <c r="F147" s="1131">
        <v>1.36</v>
      </c>
      <c r="G147" s="1137">
        <f>E147*F147</f>
        <v>0</v>
      </c>
    </row>
    <row r="148" spans="1:13" ht="13.8" thickBot="1">
      <c r="A148" s="2254"/>
      <c r="B148" s="2254"/>
      <c r="C148" s="1110" t="s">
        <v>1264</v>
      </c>
      <c r="D148" s="1746"/>
      <c r="E148" s="1244"/>
      <c r="F148" s="1132"/>
      <c r="G148" s="1142"/>
    </row>
    <row r="149" spans="1:13" ht="13.8" thickBot="1">
      <c r="A149" s="2254"/>
      <c r="B149" s="2254"/>
      <c r="C149" s="2303" t="s">
        <v>1230</v>
      </c>
      <c r="D149" s="2304"/>
      <c r="E149" s="1508">
        <f>SUM(E144:E148)</f>
        <v>0</v>
      </c>
      <c r="F149" s="1509"/>
      <c r="G149" s="1508">
        <f>SUM(G144:G148)</f>
        <v>0</v>
      </c>
    </row>
    <row r="150" spans="1:13" ht="13.8" thickBot="1">
      <c r="A150" s="2254"/>
      <c r="B150" s="2115"/>
      <c r="C150" s="1504" t="s">
        <v>1231</v>
      </c>
      <c r="D150" s="1485"/>
      <c r="E150" s="1506"/>
      <c r="F150" s="1507"/>
      <c r="G150" s="1439"/>
    </row>
    <row r="151" spans="1:13" ht="13.8" thickBot="1">
      <c r="A151" s="2254"/>
      <c r="B151" s="2254"/>
      <c r="C151" s="1110" t="s">
        <v>1232</v>
      </c>
      <c r="D151" s="1746"/>
      <c r="E151" s="1244"/>
      <c r="F151" s="1131"/>
      <c r="G151" s="1131"/>
    </row>
    <row r="152" spans="1:13" ht="13.8" thickBot="1">
      <c r="A152" s="2254"/>
      <c r="B152" s="2254"/>
      <c r="C152" s="1110" t="s">
        <v>1233</v>
      </c>
      <c r="D152" s="1746"/>
      <c r="E152" s="1244"/>
      <c r="F152" s="1131"/>
      <c r="G152" s="1131"/>
    </row>
    <row r="153" spans="1:13" ht="13.8" thickBot="1">
      <c r="A153" s="2254"/>
      <c r="B153" s="2254"/>
      <c r="C153" s="1110" t="s">
        <v>1234</v>
      </c>
      <c r="D153" s="1746"/>
      <c r="E153" s="1244"/>
      <c r="F153" s="1131"/>
      <c r="G153" s="1131"/>
    </row>
    <row r="154" spans="1:13" ht="13.8" thickBot="1">
      <c r="A154" s="2254"/>
      <c r="B154" s="2254"/>
      <c r="C154" s="1110" t="s">
        <v>1235</v>
      </c>
      <c r="D154" s="1746"/>
      <c r="E154" s="1244"/>
      <c r="F154" s="1131"/>
      <c r="G154" s="1131"/>
    </row>
    <row r="155" spans="1:13" ht="13.8" thickBot="1">
      <c r="A155" s="2254"/>
      <c r="B155" s="2254"/>
      <c r="C155" s="1110" t="s">
        <v>1236</v>
      </c>
      <c r="D155" s="1746"/>
      <c r="E155" s="1244"/>
      <c r="F155" s="1131"/>
      <c r="G155" s="1131"/>
    </row>
    <row r="156" spans="1:13" ht="13.8" thickBot="1">
      <c r="A156" s="2254"/>
      <c r="B156" s="2254"/>
      <c r="C156" s="1110" t="s">
        <v>1237</v>
      </c>
      <c r="D156" s="1746"/>
      <c r="E156" s="1244"/>
      <c r="F156" s="1131"/>
      <c r="G156" s="1131"/>
    </row>
    <row r="157" spans="1:13" ht="13.8" thickBot="1">
      <c r="A157" s="2255"/>
      <c r="B157" s="2255"/>
      <c r="C157" s="2247" t="s">
        <v>1230</v>
      </c>
      <c r="D157" s="2248"/>
      <c r="E157" s="1120">
        <f>SUM(E151:E156)</f>
        <v>0</v>
      </c>
      <c r="F157" s="1124"/>
      <c r="G157" s="1120">
        <f>SUM(G151:G156)</f>
        <v>0</v>
      </c>
    </row>
    <row r="158" spans="1:13" ht="13.8" thickBot="1">
      <c r="A158" s="2233" t="s">
        <v>250</v>
      </c>
      <c r="B158" s="2234"/>
      <c r="C158" s="2234"/>
      <c r="D158" s="2235"/>
      <c r="E158" s="1434">
        <f>E149+E157</f>
        <v>0</v>
      </c>
      <c r="F158" s="1143"/>
      <c r="G158" s="1434">
        <f>G157+G149</f>
        <v>0</v>
      </c>
    </row>
    <row r="160" spans="1:13">
      <c r="A160" s="736" t="s">
        <v>1179</v>
      </c>
      <c r="B160" s="736"/>
      <c r="C160" s="736"/>
      <c r="D160" s="736"/>
      <c r="E160" s="736"/>
      <c r="F160" s="736"/>
      <c r="G160" s="736"/>
      <c r="H160" s="736"/>
      <c r="I160" s="736"/>
      <c r="J160" s="736"/>
      <c r="K160" s="736"/>
      <c r="L160" s="736"/>
      <c r="M160" s="126"/>
    </row>
    <row r="161" spans="1:13" s="113" customFormat="1" ht="13.8" thickBot="1">
      <c r="A161" s="506" t="s">
        <v>1309</v>
      </c>
      <c r="B161" s="507"/>
      <c r="C161" s="508"/>
      <c r="D161" s="509"/>
      <c r="E161" s="509"/>
      <c r="F161" s="509"/>
      <c r="G161" s="509"/>
      <c r="H161" s="509"/>
      <c r="I161" s="509"/>
      <c r="J161" s="509"/>
      <c r="K161" s="509"/>
      <c r="L161" s="509"/>
      <c r="M161" s="619"/>
    </row>
    <row r="162" spans="1:13" s="521" customFormat="1" ht="13.8" thickBot="1">
      <c r="A162" s="1172" t="s">
        <v>1183</v>
      </c>
      <c r="B162" s="864"/>
      <c r="C162" s="1107" t="s">
        <v>1184</v>
      </c>
      <c r="D162" s="1484"/>
      <c r="E162" s="1107" t="s">
        <v>1185</v>
      </c>
      <c r="F162" s="2244" t="s">
        <v>1186</v>
      </c>
      <c r="G162" s="2245"/>
      <c r="H162" s="2246"/>
      <c r="I162" s="1171" t="s">
        <v>1185</v>
      </c>
      <c r="J162" s="869"/>
    </row>
    <row r="163" spans="1:13" s="521" customFormat="1" ht="40.200000000000003" thickBot="1">
      <c r="A163" s="1169" t="s">
        <v>1187</v>
      </c>
      <c r="B163" s="865"/>
      <c r="C163" s="2253" t="s">
        <v>1188</v>
      </c>
      <c r="D163" s="2253" t="s">
        <v>2434</v>
      </c>
      <c r="E163" s="1108" t="s">
        <v>1310</v>
      </c>
      <c r="F163" s="1108" t="s">
        <v>1190</v>
      </c>
      <c r="G163" s="1108" t="s">
        <v>1191</v>
      </c>
      <c r="H163" s="1108" t="s">
        <v>1311</v>
      </c>
      <c r="I163" s="1108" t="s">
        <v>1193</v>
      </c>
      <c r="J163" s="1108" t="s">
        <v>1194</v>
      </c>
    </row>
    <row r="164" spans="1:13" s="521" customFormat="1" ht="26.7" customHeight="1">
      <c r="A164" s="2253" t="s">
        <v>1312</v>
      </c>
      <c r="B164" s="2253" t="s">
        <v>1196</v>
      </c>
      <c r="C164" s="2254"/>
      <c r="D164" s="2254"/>
      <c r="E164" s="1170" t="s">
        <v>1197</v>
      </c>
      <c r="F164" s="866" t="s">
        <v>1198</v>
      </c>
      <c r="G164" s="866" t="s">
        <v>1250</v>
      </c>
      <c r="H164" s="866" t="s">
        <v>1198</v>
      </c>
      <c r="I164" s="866" t="s">
        <v>1200</v>
      </c>
      <c r="J164" s="1170" t="s">
        <v>1201</v>
      </c>
    </row>
    <row r="165" spans="1:13" s="521" customFormat="1" ht="15" thickBot="1">
      <c r="A165" s="2254"/>
      <c r="B165" s="2254"/>
      <c r="C165" s="2254"/>
      <c r="D165" s="2254"/>
      <c r="E165" s="868"/>
      <c r="F165" s="1109" t="s">
        <v>1202</v>
      </c>
      <c r="G165" s="1109" t="s">
        <v>1252</v>
      </c>
      <c r="H165" s="1109" t="s">
        <v>1202</v>
      </c>
      <c r="I165" s="1109" t="s">
        <v>1203</v>
      </c>
      <c r="J165" s="868"/>
    </row>
    <row r="166" spans="1:13" s="521" customFormat="1" ht="26.4">
      <c r="A166" s="2254"/>
      <c r="B166" s="2254"/>
      <c r="C166" s="2254"/>
      <c r="D166" s="2254"/>
      <c r="E166" s="1170" t="s">
        <v>1204</v>
      </c>
      <c r="F166" s="866" t="s">
        <v>1205</v>
      </c>
      <c r="G166" s="866" t="s">
        <v>1206</v>
      </c>
      <c r="H166" s="1170" t="s">
        <v>1313</v>
      </c>
      <c r="I166" s="866" t="s">
        <v>1208</v>
      </c>
      <c r="J166" s="1173" t="s">
        <v>1314</v>
      </c>
    </row>
    <row r="167" spans="1:13" s="521" customFormat="1" ht="13.8" thickBot="1">
      <c r="A167" s="2254"/>
      <c r="B167" s="2254"/>
      <c r="C167" s="2254"/>
      <c r="D167" s="2254"/>
      <c r="E167" s="868"/>
      <c r="F167" s="1109" t="s">
        <v>1210</v>
      </c>
      <c r="G167" s="1109" t="s">
        <v>1211</v>
      </c>
      <c r="H167" s="868"/>
      <c r="I167" s="1109" t="s">
        <v>1212</v>
      </c>
      <c r="J167" s="522"/>
    </row>
    <row r="168" spans="1:13" s="521" customFormat="1" ht="15" thickBot="1">
      <c r="A168" s="2255"/>
      <c r="B168" s="2255"/>
      <c r="C168" s="2254"/>
      <c r="D168" s="2254"/>
      <c r="E168" s="1438" t="s">
        <v>1213</v>
      </c>
      <c r="F168" s="1438" t="s">
        <v>1214</v>
      </c>
      <c r="G168" s="1438" t="s">
        <v>1215</v>
      </c>
      <c r="H168" s="1438" t="s">
        <v>1216</v>
      </c>
      <c r="I168" s="1438" t="s">
        <v>1217</v>
      </c>
      <c r="J168" s="1438" t="s">
        <v>1315</v>
      </c>
    </row>
    <row r="169" spans="1:13" s="521" customFormat="1" ht="13.8" thickBot="1">
      <c r="A169" s="2253" t="s">
        <v>1338</v>
      </c>
      <c r="B169" s="2293" t="s">
        <v>1219</v>
      </c>
      <c r="C169" s="1492" t="s">
        <v>1220</v>
      </c>
      <c r="D169" s="1487"/>
      <c r="E169" s="1506"/>
      <c r="F169" s="1507"/>
      <c r="G169" s="1507"/>
      <c r="H169" s="1507"/>
      <c r="I169" s="1510"/>
      <c r="J169" s="1440"/>
    </row>
    <row r="170" spans="1:13" s="521" customFormat="1" ht="13.8" thickBot="1">
      <c r="A170" s="2254"/>
      <c r="B170" s="2254"/>
      <c r="C170" s="1110" t="s">
        <v>1260</v>
      </c>
      <c r="D170" s="1746"/>
      <c r="E170" s="1244"/>
      <c r="F170" s="1144">
        <v>2.2250000000000001</v>
      </c>
      <c r="G170" s="1131">
        <v>0.37</v>
      </c>
      <c r="H170" s="1114">
        <f>F170*(1+G170)</f>
        <v>3.0482500000000003</v>
      </c>
      <c r="I170" s="1131">
        <v>0.54</v>
      </c>
      <c r="J170" s="1116">
        <f>E170*H170*I170</f>
        <v>0</v>
      </c>
    </row>
    <row r="171" spans="1:13" s="521" customFormat="1" ht="13.8" thickBot="1">
      <c r="A171" s="2254"/>
      <c r="B171" s="2254"/>
      <c r="C171" s="1110" t="s">
        <v>1261</v>
      </c>
      <c r="D171" s="1746"/>
      <c r="E171" s="1116">
        <f>E39</f>
        <v>0</v>
      </c>
      <c r="F171" s="1137">
        <v>1.77</v>
      </c>
      <c r="G171" s="1131">
        <v>0.24</v>
      </c>
      <c r="H171" s="1114">
        <f>F171*(1+G171)</f>
        <v>2.1947999999999999</v>
      </c>
      <c r="I171" s="1131">
        <v>0.52</v>
      </c>
      <c r="J171" s="1116">
        <f>E171*H171*I171</f>
        <v>0</v>
      </c>
    </row>
    <row r="172" spans="1:13" s="521" customFormat="1" ht="13.8" thickBot="1">
      <c r="A172" s="2254"/>
      <c r="B172" s="2254"/>
      <c r="C172" s="1110" t="s">
        <v>1262</v>
      </c>
      <c r="D172" s="1746"/>
      <c r="E172" s="1244"/>
      <c r="F172" s="1137">
        <v>1.5</v>
      </c>
      <c r="G172" s="1131">
        <v>0.28000000000000003</v>
      </c>
      <c r="H172" s="1114">
        <f>F172*(1+G172)</f>
        <v>1.92</v>
      </c>
      <c r="I172" s="1131">
        <v>0.49</v>
      </c>
      <c r="J172" s="1116">
        <f>E172*H172*I172</f>
        <v>0</v>
      </c>
    </row>
    <row r="173" spans="1:13" s="521" customFormat="1" ht="13.8" thickBot="1">
      <c r="A173" s="2254"/>
      <c r="B173" s="2254"/>
      <c r="C173" s="1110" t="s">
        <v>1263</v>
      </c>
      <c r="D173" s="1746"/>
      <c r="E173" s="1244"/>
      <c r="F173" s="1137">
        <v>0.75</v>
      </c>
      <c r="G173" s="1131">
        <v>0.27</v>
      </c>
      <c r="H173" s="1114">
        <f>F173*(1+G173)</f>
        <v>0.95250000000000001</v>
      </c>
      <c r="I173" s="1131">
        <v>0.47</v>
      </c>
      <c r="J173" s="1116">
        <f>E173*H173*I173</f>
        <v>0</v>
      </c>
    </row>
    <row r="174" spans="1:13" s="521" customFormat="1" ht="13.8" thickBot="1">
      <c r="A174" s="2254"/>
      <c r="B174" s="2254"/>
      <c r="C174" s="1110" t="s">
        <v>1264</v>
      </c>
      <c r="D174" s="1746"/>
      <c r="E174" s="1244"/>
      <c r="F174" s="1137">
        <v>1.33</v>
      </c>
      <c r="G174" s="1132">
        <v>0.23</v>
      </c>
      <c r="H174" s="1114">
        <f>F174*(1+G174)</f>
        <v>1.6359000000000001</v>
      </c>
      <c r="I174" s="1131">
        <v>0.55000000000000004</v>
      </c>
      <c r="J174" s="1116">
        <f>E174*H174*I174</f>
        <v>0</v>
      </c>
    </row>
    <row r="175" spans="1:13" s="521" customFormat="1" ht="13.8" thickBot="1">
      <c r="A175" s="2254"/>
      <c r="B175" s="2254"/>
      <c r="C175" s="2303" t="s">
        <v>1230</v>
      </c>
      <c r="D175" s="2304"/>
      <c r="E175" s="1511">
        <f>SUM(E170:E174)</f>
        <v>0</v>
      </c>
      <c r="F175" s="1512"/>
      <c r="G175" s="1513"/>
      <c r="H175" s="1514"/>
      <c r="I175" s="1509"/>
      <c r="J175" s="1511">
        <f>SUM(J170:J174)</f>
        <v>0</v>
      </c>
    </row>
    <row r="176" spans="1:13" s="521" customFormat="1" ht="13.8" thickBot="1">
      <c r="A176" s="2254"/>
      <c r="B176" s="2115"/>
      <c r="C176" s="1492" t="s">
        <v>1231</v>
      </c>
      <c r="D176" s="1487"/>
      <c r="E176" s="1506"/>
      <c r="F176" s="1507"/>
      <c r="G176" s="1507"/>
      <c r="H176" s="1507"/>
      <c r="I176" s="1510"/>
      <c r="J176" s="1457"/>
    </row>
    <row r="177" spans="1:11" s="521" customFormat="1" ht="13.8" thickBot="1">
      <c r="A177" s="2254"/>
      <c r="B177" s="2254"/>
      <c r="C177" s="1110" t="s">
        <v>1232</v>
      </c>
      <c r="D177" s="1746"/>
      <c r="E177" s="1244"/>
      <c r="F177" s="1137">
        <v>17.88</v>
      </c>
      <c r="G177" s="1131">
        <v>0.22</v>
      </c>
      <c r="H177" s="1114">
        <f>F177*(1+G177)</f>
        <v>21.813599999999997</v>
      </c>
      <c r="I177" s="1131">
        <v>0.47</v>
      </c>
      <c r="J177" s="1116">
        <f>E177*H177*I177</f>
        <v>0</v>
      </c>
    </row>
    <row r="178" spans="1:11" s="521" customFormat="1" ht="13.8" thickBot="1">
      <c r="A178" s="2254"/>
      <c r="B178" s="2254"/>
      <c r="C178" s="1110" t="s">
        <v>1233</v>
      </c>
      <c r="D178" s="1746"/>
      <c r="E178" s="1244"/>
      <c r="F178" s="1137">
        <v>16.28</v>
      </c>
      <c r="G178" s="1131">
        <v>0.22</v>
      </c>
      <c r="H178" s="1114">
        <f>F178*(1+G178)</f>
        <v>19.861599999999999</v>
      </c>
      <c r="I178" s="1131">
        <v>0.47</v>
      </c>
      <c r="J178" s="1116">
        <f>E178*H178*I178</f>
        <v>0</v>
      </c>
    </row>
    <row r="179" spans="1:11" s="521" customFormat="1" ht="13.8" thickBot="1">
      <c r="A179" s="2254"/>
      <c r="B179" s="2254"/>
      <c r="C179" s="1110" t="s">
        <v>1234</v>
      </c>
      <c r="D179" s="1746"/>
      <c r="E179" s="1244"/>
      <c r="F179" s="1137">
        <v>11</v>
      </c>
      <c r="G179" s="1131">
        <v>0.22</v>
      </c>
      <c r="H179" s="1114">
        <f>F179*(1+G179)</f>
        <v>13.42</v>
      </c>
      <c r="I179" s="1131">
        <v>0.47</v>
      </c>
      <c r="J179" s="1116">
        <f>E179*H179*I179</f>
        <v>0</v>
      </c>
    </row>
    <row r="180" spans="1:11" s="521" customFormat="1" ht="13.8" thickBot="1">
      <c r="A180" s="2254"/>
      <c r="B180" s="2254"/>
      <c r="C180" s="1110" t="s">
        <v>1235</v>
      </c>
      <c r="D180" s="1746"/>
      <c r="E180" s="1244"/>
      <c r="F180" s="1137">
        <v>18.39</v>
      </c>
      <c r="G180" s="1131">
        <v>0.22</v>
      </c>
      <c r="H180" s="1114">
        <f>F180*(1+G180)</f>
        <v>22.4358</v>
      </c>
      <c r="I180" s="1131">
        <v>0.47</v>
      </c>
      <c r="J180" s="1116">
        <f>E180*H180*I180</f>
        <v>0</v>
      </c>
    </row>
    <row r="181" spans="1:11" s="521" customFormat="1" ht="13.8" thickBot="1">
      <c r="A181" s="2254"/>
      <c r="B181" s="2254"/>
      <c r="C181" s="1110" t="s">
        <v>1237</v>
      </c>
      <c r="D181" s="1746"/>
      <c r="E181" s="1244"/>
      <c r="F181" s="1137">
        <v>10.3</v>
      </c>
      <c r="G181" s="1131">
        <v>0.22</v>
      </c>
      <c r="H181" s="1114">
        <f>F181*(1+G181)</f>
        <v>12.566000000000001</v>
      </c>
      <c r="I181" s="1131">
        <v>0.47</v>
      </c>
      <c r="J181" s="1116">
        <f>E181*H181*I181</f>
        <v>0</v>
      </c>
    </row>
    <row r="182" spans="1:11" s="521" customFormat="1" ht="13.8" thickBot="1">
      <c r="A182" s="2255"/>
      <c r="B182" s="2255"/>
      <c r="C182" s="2242" t="s">
        <v>1230</v>
      </c>
      <c r="D182" s="2311"/>
      <c r="E182" s="523">
        <f>SUM(E177:E181)</f>
        <v>0</v>
      </c>
      <c r="F182" s="516"/>
      <c r="G182" s="516"/>
      <c r="H182" s="516"/>
      <c r="I182" s="516"/>
      <c r="J182" s="523">
        <f>SUM(J177:J181)</f>
        <v>0</v>
      </c>
      <c r="K182" s="1458"/>
    </row>
    <row r="183" spans="1:11" s="521" customFormat="1" ht="13.8" thickBot="1">
      <c r="A183" s="2233" t="s">
        <v>250</v>
      </c>
      <c r="B183" s="2234"/>
      <c r="C183" s="2234"/>
      <c r="D183" s="2235"/>
      <c r="E183" s="515">
        <f>E175+E182</f>
        <v>0</v>
      </c>
      <c r="F183" s="1174"/>
      <c r="G183" s="524"/>
      <c r="H183" s="524"/>
      <c r="I183" s="525"/>
      <c r="J183" s="515">
        <f>J175+J182</f>
        <v>0</v>
      </c>
    </row>
    <row r="184" spans="1:11" s="521" customFormat="1">
      <c r="A184" s="521" t="s">
        <v>1316</v>
      </c>
    </row>
    <row r="186" spans="1:11" ht="13.8" thickBot="1">
      <c r="A186" s="496" t="s">
        <v>1317</v>
      </c>
      <c r="B186" s="496"/>
      <c r="C186" s="496"/>
      <c r="D186" s="496"/>
      <c r="E186" s="496"/>
      <c r="F186" s="496"/>
      <c r="G186" s="496"/>
      <c r="H186" s="496"/>
      <c r="I186" s="496"/>
      <c r="J186" s="496"/>
    </row>
    <row r="187" spans="1:11" ht="13.8" thickBot="1">
      <c r="A187" s="2266" t="s">
        <v>1183</v>
      </c>
      <c r="B187" s="2267"/>
      <c r="C187" s="869" t="s">
        <v>1184</v>
      </c>
      <c r="D187" s="2244" t="s">
        <v>1244</v>
      </c>
      <c r="E187" s="2245"/>
      <c r="F187" s="2245"/>
      <c r="G187" s="2245"/>
      <c r="H187" s="2245"/>
      <c r="I187" s="2245"/>
      <c r="J187" s="2246"/>
    </row>
    <row r="188" spans="1:11" ht="27" thickBot="1">
      <c r="A188" s="2268" t="s">
        <v>1187</v>
      </c>
      <c r="B188" s="2269"/>
      <c r="C188" s="2253" t="s">
        <v>1188</v>
      </c>
      <c r="D188" s="2253" t="s">
        <v>2434</v>
      </c>
      <c r="E188" s="489" t="s">
        <v>1245</v>
      </c>
      <c r="F188" s="2291" t="s">
        <v>1246</v>
      </c>
      <c r="G188" s="2292"/>
      <c r="H188" s="877" t="s">
        <v>1191</v>
      </c>
      <c r="I188" s="877" t="s">
        <v>1193</v>
      </c>
      <c r="J188" s="877" t="s">
        <v>1247</v>
      </c>
    </row>
    <row r="189" spans="1:11" ht="14.4">
      <c r="A189" s="2253" t="s">
        <v>1195</v>
      </c>
      <c r="B189" s="2253" t="s">
        <v>1196</v>
      </c>
      <c r="C189" s="2254"/>
      <c r="D189" s="2254"/>
      <c r="E189" s="2254" t="s">
        <v>1248</v>
      </c>
      <c r="F189" s="2122" t="s">
        <v>1249</v>
      </c>
      <c r="G189" s="2272"/>
      <c r="H189" s="866" t="s">
        <v>1250</v>
      </c>
      <c r="I189" s="866" t="s">
        <v>1200</v>
      </c>
      <c r="J189" s="867" t="s">
        <v>1201</v>
      </c>
    </row>
    <row r="190" spans="1:11" ht="15" thickBot="1">
      <c r="A190" s="2254"/>
      <c r="B190" s="2254"/>
      <c r="C190" s="2254"/>
      <c r="D190" s="2254"/>
      <c r="E190" s="2255"/>
      <c r="F190" s="2120" t="s">
        <v>1251</v>
      </c>
      <c r="G190" s="2273"/>
      <c r="H190" s="1109" t="s">
        <v>1252</v>
      </c>
      <c r="I190" s="1109" t="s">
        <v>1203</v>
      </c>
      <c r="J190" s="868"/>
    </row>
    <row r="191" spans="1:11" ht="27.6">
      <c r="A191" s="2254"/>
      <c r="B191" s="2254"/>
      <c r="C191" s="2254"/>
      <c r="D191" s="2254"/>
      <c r="E191" s="1165" t="s">
        <v>1204</v>
      </c>
      <c r="F191" s="2122" t="s">
        <v>1253</v>
      </c>
      <c r="G191" s="2272"/>
      <c r="H191" s="866" t="s">
        <v>1254</v>
      </c>
      <c r="I191" s="866" t="s">
        <v>1255</v>
      </c>
      <c r="J191" s="1170" t="s">
        <v>1256</v>
      </c>
    </row>
    <row r="192" spans="1:11" ht="15" thickBot="1">
      <c r="A192" s="2254"/>
      <c r="B192" s="2254"/>
      <c r="C192" s="2254"/>
      <c r="D192" s="2255"/>
      <c r="E192" s="1438" t="s">
        <v>1257</v>
      </c>
      <c r="F192" s="2312" t="s">
        <v>1258</v>
      </c>
      <c r="G192" s="2313"/>
      <c r="H192" s="1438" t="s">
        <v>1215</v>
      </c>
      <c r="I192" s="1438" t="s">
        <v>1217</v>
      </c>
      <c r="J192" s="1438" t="s">
        <v>1259</v>
      </c>
    </row>
    <row r="193" spans="1:10" ht="13.8" thickBot="1">
      <c r="A193" s="2249" t="s">
        <v>1338</v>
      </c>
      <c r="B193" s="2253" t="s">
        <v>1219</v>
      </c>
      <c r="C193" s="1492" t="s">
        <v>1220</v>
      </c>
      <c r="D193" s="1487"/>
      <c r="E193" s="1506"/>
      <c r="F193" s="1507"/>
      <c r="G193" s="1507"/>
      <c r="H193" s="1507"/>
      <c r="I193" s="1510"/>
      <c r="J193" s="1440"/>
    </row>
    <row r="194" spans="1:10" ht="13.8" thickBot="1">
      <c r="A194" s="2249"/>
      <c r="B194" s="2254"/>
      <c r="C194" s="488" t="s">
        <v>1260</v>
      </c>
      <c r="D194" s="1746"/>
      <c r="E194" s="1244"/>
      <c r="F194" s="2258">
        <v>3.11</v>
      </c>
      <c r="G194" s="2259"/>
      <c r="H194" s="1131">
        <v>0.37</v>
      </c>
      <c r="I194" s="1131">
        <v>0.54</v>
      </c>
      <c r="J194" s="1142">
        <f>E194*F194*(1+H194)*I194</f>
        <v>0</v>
      </c>
    </row>
    <row r="195" spans="1:10" ht="13.8" thickBot="1">
      <c r="A195" s="2249"/>
      <c r="B195" s="2254"/>
      <c r="C195" s="1588" t="s">
        <v>1261</v>
      </c>
      <c r="D195" s="1746"/>
      <c r="E195" s="1244"/>
      <c r="F195" s="2258">
        <v>3.11</v>
      </c>
      <c r="G195" s="2259"/>
      <c r="H195" s="1131">
        <v>0.24</v>
      </c>
      <c r="I195" s="1131">
        <v>0.52</v>
      </c>
      <c r="J195" s="1142">
        <f>E195*F195*(1+H195)*I195</f>
        <v>0</v>
      </c>
    </row>
    <row r="196" spans="1:10" ht="13.8" thickBot="1">
      <c r="A196" s="2249"/>
      <c r="B196" s="2254"/>
      <c r="C196" s="1588" t="s">
        <v>1262</v>
      </c>
      <c r="D196" s="1746"/>
      <c r="E196" s="1244"/>
      <c r="F196" s="2258">
        <v>3.11</v>
      </c>
      <c r="G196" s="2259"/>
      <c r="H196" s="1131">
        <v>0.28000000000000003</v>
      </c>
      <c r="I196" s="1131">
        <v>0.49</v>
      </c>
      <c r="J196" s="1142">
        <f>E196*F196*(1+H196)*I196</f>
        <v>0</v>
      </c>
    </row>
    <row r="197" spans="1:10" ht="13.8" thickBot="1">
      <c r="A197" s="2249"/>
      <c r="B197" s="2254"/>
      <c r="C197" s="488" t="s">
        <v>1263</v>
      </c>
      <c r="D197" s="1746"/>
      <c r="E197" s="1244"/>
      <c r="F197" s="2258">
        <v>3.11</v>
      </c>
      <c r="G197" s="2259"/>
      <c r="H197" s="1131">
        <v>0.27</v>
      </c>
      <c r="I197" s="1131">
        <v>0.47</v>
      </c>
      <c r="J197" s="1142">
        <f>E197*F197*(1+H197)*I197</f>
        <v>0</v>
      </c>
    </row>
    <row r="198" spans="1:10" ht="13.8" thickBot="1">
      <c r="A198" s="2249"/>
      <c r="B198" s="2254"/>
      <c r="C198" s="1588" t="s">
        <v>1264</v>
      </c>
      <c r="D198" s="1746"/>
      <c r="E198" s="1244"/>
      <c r="F198" s="2258">
        <v>3.11</v>
      </c>
      <c r="G198" s="2259"/>
      <c r="H198" s="1132">
        <v>0.49</v>
      </c>
      <c r="I198" s="1131">
        <v>0.55000000000000004</v>
      </c>
      <c r="J198" s="1142">
        <f>E198*F198*(1+H198)*I198</f>
        <v>0</v>
      </c>
    </row>
    <row r="199" spans="1:10" ht="13.8" thickBot="1">
      <c r="A199" s="2249"/>
      <c r="B199" s="2254"/>
      <c r="C199" s="2247" t="s">
        <v>1230</v>
      </c>
      <c r="D199" s="2248"/>
      <c r="E199" s="1431">
        <f>SUM(E194:E198)</f>
        <v>0</v>
      </c>
      <c r="F199" s="2260"/>
      <c r="G199" s="2261"/>
      <c r="H199" s="1133"/>
      <c r="I199" s="1134"/>
      <c r="J199" s="1428">
        <f>SUM(J194:J198)</f>
        <v>0</v>
      </c>
    </row>
    <row r="200" spans="1:10" ht="13.8" thickBot="1">
      <c r="A200" s="2249"/>
      <c r="B200" s="2254"/>
      <c r="C200" s="1492" t="s">
        <v>1231</v>
      </c>
      <c r="D200" s="1487"/>
      <c r="E200" s="1506"/>
      <c r="F200" s="1507"/>
      <c r="G200" s="1507"/>
      <c r="H200" s="1507"/>
      <c r="I200" s="1510"/>
      <c r="J200" s="1440"/>
    </row>
    <row r="201" spans="1:10" ht="13.8" thickBot="1">
      <c r="A201" s="2249"/>
      <c r="B201" s="2254"/>
      <c r="C201" s="1488" t="s">
        <v>1232</v>
      </c>
      <c r="D201" s="1746"/>
      <c r="E201" s="1244"/>
      <c r="F201" s="2258">
        <v>3.11</v>
      </c>
      <c r="G201" s="2259"/>
      <c r="H201" s="1131">
        <v>0.39</v>
      </c>
      <c r="I201" s="1136">
        <v>0.49880000000000002</v>
      </c>
      <c r="J201" s="1142">
        <f t="shared" ref="J201:J206" si="7">E201*F201*(1+H201)*I201</f>
        <v>0</v>
      </c>
    </row>
    <row r="202" spans="1:10" ht="13.8" thickBot="1">
      <c r="A202" s="2249"/>
      <c r="B202" s="2254"/>
      <c r="C202" s="1488" t="s">
        <v>1233</v>
      </c>
      <c r="D202" s="1746"/>
      <c r="E202" s="1244"/>
      <c r="F202" s="2258">
        <v>3.11</v>
      </c>
      <c r="G202" s="2259"/>
      <c r="H202" s="1131">
        <v>0.27</v>
      </c>
      <c r="I202" s="1136">
        <v>0.48130000000000001</v>
      </c>
      <c r="J202" s="1142">
        <f t="shared" si="7"/>
        <v>0</v>
      </c>
    </row>
    <row r="203" spans="1:10" ht="13.8" thickBot="1">
      <c r="A203" s="2249"/>
      <c r="B203" s="2254"/>
      <c r="C203" s="1488" t="s">
        <v>1234</v>
      </c>
      <c r="D203" s="1746"/>
      <c r="E203" s="1244"/>
      <c r="F203" s="2258">
        <v>3.11</v>
      </c>
      <c r="G203" s="2259"/>
      <c r="H203" s="1131">
        <v>0.24</v>
      </c>
      <c r="I203" s="1137">
        <v>0.47</v>
      </c>
      <c r="J203" s="1142">
        <f t="shared" si="7"/>
        <v>0</v>
      </c>
    </row>
    <row r="204" spans="1:10" ht="13.8" thickBot="1">
      <c r="A204" s="2249"/>
      <c r="B204" s="2254"/>
      <c r="C204" s="1488" t="s">
        <v>1235</v>
      </c>
      <c r="D204" s="1746"/>
      <c r="E204" s="1244"/>
      <c r="F204" s="2258">
        <v>3.11</v>
      </c>
      <c r="G204" s="2259"/>
      <c r="H204" s="1131">
        <v>0.48</v>
      </c>
      <c r="I204" s="1136">
        <v>0.47149999999999997</v>
      </c>
      <c r="J204" s="1142">
        <f t="shared" si="7"/>
        <v>0</v>
      </c>
    </row>
    <row r="205" spans="1:10" ht="13.8" thickBot="1">
      <c r="A205" s="2249"/>
      <c r="B205" s="2254"/>
      <c r="C205" s="1489" t="s">
        <v>1236</v>
      </c>
      <c r="D205" s="1746"/>
      <c r="E205" s="1244"/>
      <c r="F205" s="2258">
        <v>3.11</v>
      </c>
      <c r="G205" s="2259"/>
      <c r="H205" s="1131">
        <v>0.26</v>
      </c>
      <c r="I205" s="1136">
        <v>0.4733</v>
      </c>
      <c r="J205" s="1142">
        <f t="shared" si="7"/>
        <v>0</v>
      </c>
    </row>
    <row r="206" spans="1:10" ht="13.8" thickBot="1">
      <c r="A206" s="2249"/>
      <c r="B206" s="2254"/>
      <c r="C206" s="1488" t="s">
        <v>1237</v>
      </c>
      <c r="D206" s="1746"/>
      <c r="E206" s="1244"/>
      <c r="F206" s="2258">
        <v>3.11</v>
      </c>
      <c r="G206" s="2259"/>
      <c r="H206" s="1131">
        <v>0.24</v>
      </c>
      <c r="I206" s="1137">
        <v>0.47</v>
      </c>
      <c r="J206" s="1142">
        <f t="shared" si="7"/>
        <v>0</v>
      </c>
    </row>
    <row r="207" spans="1:10" ht="13.8" thickBot="1">
      <c r="A207" s="2249"/>
      <c r="B207" s="2255"/>
      <c r="C207" s="2247" t="s">
        <v>1230</v>
      </c>
      <c r="D207" s="2248"/>
      <c r="E207" s="1431">
        <f>SUM(E201:E206)</f>
        <v>0</v>
      </c>
      <c r="F207" s="2260"/>
      <c r="G207" s="2261"/>
      <c r="H207" s="1134"/>
      <c r="I207" s="1134"/>
      <c r="J207" s="1428">
        <f>SUM(J201:J206)</f>
        <v>0</v>
      </c>
    </row>
    <row r="208" spans="1:10" ht="13.8" thickBot="1">
      <c r="A208" s="2308" t="s">
        <v>250</v>
      </c>
      <c r="B208" s="2309"/>
      <c r="C208" s="2309"/>
      <c r="D208" s="2310"/>
      <c r="E208" s="1435">
        <f>E199+E207</f>
        <v>0</v>
      </c>
      <c r="F208" s="2256"/>
      <c r="G208" s="2257"/>
      <c r="H208" s="1129"/>
      <c r="I208" s="1129"/>
      <c r="J208" s="1427">
        <f>J199+J207</f>
        <v>0</v>
      </c>
    </row>
    <row r="210" spans="1:11" ht="13.8" thickBot="1">
      <c r="A210" s="496" t="s">
        <v>1318</v>
      </c>
      <c r="B210" s="496"/>
      <c r="C210" s="496"/>
      <c r="D210" s="496"/>
      <c r="E210" s="496"/>
      <c r="F210" s="496"/>
      <c r="G210" s="496"/>
      <c r="H210" s="496"/>
      <c r="I210" s="496"/>
      <c r="J210" s="496"/>
      <c r="K210" s="496"/>
    </row>
    <row r="211" spans="1:11" ht="13.8" thickBot="1">
      <c r="A211" s="2270" t="s">
        <v>1183</v>
      </c>
      <c r="B211" s="2271"/>
      <c r="C211" s="498" t="s">
        <v>1184</v>
      </c>
      <c r="D211" s="2244" t="s">
        <v>1266</v>
      </c>
      <c r="E211" s="2245"/>
      <c r="F211" s="2245"/>
      <c r="G211" s="2245"/>
      <c r="H211" s="2245"/>
      <c r="I211" s="2245"/>
      <c r="J211" s="2245"/>
      <c r="K211" s="2246"/>
    </row>
    <row r="212" spans="1:11">
      <c r="A212" s="2122" t="s">
        <v>1187</v>
      </c>
      <c r="B212" s="2272"/>
      <c r="C212" s="2253" t="s">
        <v>1188</v>
      </c>
      <c r="D212" s="2253" t="s">
        <v>2434</v>
      </c>
      <c r="E212" s="2274" t="s">
        <v>1267</v>
      </c>
      <c r="F212" s="2274" t="s">
        <v>1268</v>
      </c>
      <c r="G212" s="2274" t="s">
        <v>1191</v>
      </c>
      <c r="H212" s="2274" t="s">
        <v>1269</v>
      </c>
      <c r="I212" s="2274" t="s">
        <v>1270</v>
      </c>
      <c r="J212" s="2274" t="s">
        <v>1193</v>
      </c>
      <c r="K212" s="2274" t="s">
        <v>1271</v>
      </c>
    </row>
    <row r="213" spans="1:11" ht="13.8" thickBot="1">
      <c r="A213" s="2120"/>
      <c r="B213" s="2273"/>
      <c r="C213" s="2254"/>
      <c r="D213" s="2254"/>
      <c r="E213" s="2275"/>
      <c r="F213" s="2275"/>
      <c r="G213" s="2275"/>
      <c r="H213" s="2275"/>
      <c r="I213" s="2275"/>
      <c r="J213" s="2275"/>
      <c r="K213" s="2275"/>
    </row>
    <row r="214" spans="1:11">
      <c r="A214" s="2253" t="s">
        <v>1195</v>
      </c>
      <c r="B214" s="2253" t="s">
        <v>1196</v>
      </c>
      <c r="C214" s="2254"/>
      <c r="D214" s="2254"/>
      <c r="E214" s="2253" t="s">
        <v>1248</v>
      </c>
      <c r="F214" s="866" t="s">
        <v>1249</v>
      </c>
      <c r="G214" s="866" t="s">
        <v>1250</v>
      </c>
      <c r="H214" s="2253" t="s">
        <v>1248</v>
      </c>
      <c r="I214" s="2253" t="s">
        <v>1272</v>
      </c>
      <c r="J214" s="866" t="s">
        <v>1200</v>
      </c>
      <c r="K214" s="2253" t="s">
        <v>1201</v>
      </c>
    </row>
    <row r="215" spans="1:11" ht="15" thickBot="1">
      <c r="A215" s="2254"/>
      <c r="B215" s="2254"/>
      <c r="C215" s="2254"/>
      <c r="D215" s="2254"/>
      <c r="E215" s="2255"/>
      <c r="F215" s="1520" t="s">
        <v>1251</v>
      </c>
      <c r="G215" s="1520" t="s">
        <v>1252</v>
      </c>
      <c r="H215" s="2255"/>
      <c r="I215" s="2255"/>
      <c r="J215" s="1520" t="s">
        <v>1203</v>
      </c>
      <c r="K215" s="2255"/>
    </row>
    <row r="216" spans="1:11" ht="29.4" thickBot="1">
      <c r="A216" s="2254"/>
      <c r="B216" s="2254"/>
      <c r="C216" s="2254"/>
      <c r="D216" s="2254"/>
      <c r="E216" s="1170" t="s">
        <v>1273</v>
      </c>
      <c r="F216" s="1170" t="s">
        <v>1253</v>
      </c>
      <c r="G216" s="866" t="s">
        <v>1254</v>
      </c>
      <c r="H216" s="1170" t="s">
        <v>1273</v>
      </c>
      <c r="I216" s="1170" t="s">
        <v>1274</v>
      </c>
      <c r="J216" s="866" t="s">
        <v>1255</v>
      </c>
      <c r="K216" s="1521" t="s">
        <v>1275</v>
      </c>
    </row>
    <row r="217" spans="1:11" ht="15" thickBot="1">
      <c r="A217" s="2278"/>
      <c r="B217" s="2278"/>
      <c r="C217" s="2278"/>
      <c r="D217" s="2278"/>
      <c r="E217" s="1522" t="s">
        <v>1276</v>
      </c>
      <c r="F217" s="1522" t="s">
        <v>1258</v>
      </c>
      <c r="G217" s="1522" t="s">
        <v>1215</v>
      </c>
      <c r="H217" s="1522" t="s">
        <v>1277</v>
      </c>
      <c r="I217" s="1522" t="s">
        <v>1278</v>
      </c>
      <c r="J217" s="1523" t="s">
        <v>1217</v>
      </c>
      <c r="K217" s="872" t="s">
        <v>1279</v>
      </c>
    </row>
    <row r="218" spans="1:11" ht="14.4" thickTop="1" thickBot="1">
      <c r="A218" s="2249" t="s">
        <v>1338</v>
      </c>
      <c r="B218" s="2250" t="s">
        <v>1219</v>
      </c>
      <c r="C218" s="1515" t="s">
        <v>1220</v>
      </c>
      <c r="D218" s="1491"/>
      <c r="E218" s="1491"/>
      <c r="F218" s="1516"/>
      <c r="G218" s="1517"/>
      <c r="H218" s="1517"/>
      <c r="I218" s="1517"/>
      <c r="J218" s="1518"/>
      <c r="K218" s="1519"/>
    </row>
    <row r="219" spans="1:11" ht="13.8" thickBot="1">
      <c r="A219" s="2249"/>
      <c r="B219" s="2251"/>
      <c r="C219" s="488" t="s">
        <v>1260</v>
      </c>
      <c r="D219" s="1746"/>
      <c r="E219" s="1244"/>
      <c r="F219" s="1131"/>
      <c r="G219" s="1131"/>
      <c r="H219" s="1131"/>
      <c r="I219" s="1132"/>
      <c r="J219" s="1132"/>
      <c r="K219" s="1564">
        <f>(E219*F219*(1+G219)+H219*I219)*J219</f>
        <v>0</v>
      </c>
    </row>
    <row r="220" spans="1:11" ht="13.8" thickBot="1">
      <c r="A220" s="2249"/>
      <c r="B220" s="2251"/>
      <c r="C220" s="1588" t="s">
        <v>1261</v>
      </c>
      <c r="D220" s="1746"/>
      <c r="E220" s="1244"/>
      <c r="F220" s="1131"/>
      <c r="G220" s="1131"/>
      <c r="H220" s="1131"/>
      <c r="I220" s="1132"/>
      <c r="J220" s="1132"/>
      <c r="K220" s="1564">
        <f>(E220*F220*(1+G220)+H220*I220)*J220</f>
        <v>0</v>
      </c>
    </row>
    <row r="221" spans="1:11" ht="13.8" thickBot="1">
      <c r="A221" s="2249"/>
      <c r="B221" s="2251"/>
      <c r="C221" s="1588" t="s">
        <v>1262</v>
      </c>
      <c r="D221" s="1746"/>
      <c r="E221" s="1244"/>
      <c r="F221" s="1131"/>
      <c r="G221" s="1131"/>
      <c r="H221" s="1131"/>
      <c r="I221" s="1132"/>
      <c r="J221" s="1132"/>
      <c r="K221" s="1564">
        <f t="shared" ref="K221:K223" si="8">(E221*F221*(1+G221)+H221*I221)*J221</f>
        <v>0</v>
      </c>
    </row>
    <row r="222" spans="1:11" ht="13.8" thickBot="1">
      <c r="A222" s="2249"/>
      <c r="B222" s="2251"/>
      <c r="C222" s="488" t="s">
        <v>1263</v>
      </c>
      <c r="D222" s="1746"/>
      <c r="E222" s="1244"/>
      <c r="F222" s="1131"/>
      <c r="G222" s="1131"/>
      <c r="H222" s="1131"/>
      <c r="I222" s="1132"/>
      <c r="J222" s="1132"/>
      <c r="K222" s="1564">
        <f t="shared" si="8"/>
        <v>0</v>
      </c>
    </row>
    <row r="223" spans="1:11" ht="13.8" thickBot="1">
      <c r="A223" s="2249"/>
      <c r="B223" s="2251"/>
      <c r="C223" s="1588" t="s">
        <v>1264</v>
      </c>
      <c r="D223" s="1746"/>
      <c r="E223" s="1244"/>
      <c r="F223" s="1131"/>
      <c r="G223" s="1132"/>
      <c r="H223" s="1131"/>
      <c r="I223" s="1132"/>
      <c r="J223" s="1132"/>
      <c r="K223" s="1564">
        <f t="shared" si="8"/>
        <v>0</v>
      </c>
    </row>
    <row r="224" spans="1:11" ht="13.8" thickBot="1">
      <c r="A224" s="2249"/>
      <c r="B224" s="2251"/>
      <c r="C224" s="2247" t="s">
        <v>1230</v>
      </c>
      <c r="D224" s="2248"/>
      <c r="E224" s="1121">
        <f>SUM(E219:E223)</f>
        <v>0</v>
      </c>
      <c r="F224" s="1134"/>
      <c r="G224" s="1134"/>
      <c r="H224" s="1134"/>
      <c r="I224" s="1135"/>
      <c r="J224" s="1135"/>
      <c r="K224" s="1428">
        <f>SUM(K219:K223)</f>
        <v>0</v>
      </c>
    </row>
    <row r="225" spans="1:11" ht="13.8" thickBot="1">
      <c r="A225" s="2249"/>
      <c r="B225" s="2251"/>
      <c r="C225" s="1492" t="s">
        <v>1231</v>
      </c>
      <c r="D225" s="1487"/>
      <c r="E225" s="1487"/>
      <c r="F225" s="1506"/>
      <c r="G225" s="1507"/>
      <c r="H225" s="1507"/>
      <c r="I225" s="1507"/>
      <c r="J225" s="1510"/>
      <c r="K225" s="1440"/>
    </row>
    <row r="226" spans="1:11" ht="13.8" thickBot="1">
      <c r="A226" s="2249"/>
      <c r="B226" s="2251"/>
      <c r="C226" s="1488" t="s">
        <v>1232</v>
      </c>
      <c r="D226" s="1746"/>
      <c r="E226" s="1244"/>
      <c r="F226" s="1131"/>
      <c r="G226" s="1131"/>
      <c r="H226" s="1136"/>
      <c r="I226" s="1132"/>
      <c r="J226" s="1132"/>
      <c r="K226" s="1564">
        <f>(E226*F226*(1+G226)+H226*I226)*J226</f>
        <v>0</v>
      </c>
    </row>
    <row r="227" spans="1:11" ht="13.8" thickBot="1">
      <c r="A227" s="2249"/>
      <c r="B227" s="2251"/>
      <c r="C227" s="1488" t="s">
        <v>1233</v>
      </c>
      <c r="D227" s="1746"/>
      <c r="E227" s="1244"/>
      <c r="F227" s="1131"/>
      <c r="G227" s="1131"/>
      <c r="H227" s="1136"/>
      <c r="I227" s="1132"/>
      <c r="J227" s="1132"/>
      <c r="K227" s="1564">
        <f t="shared" ref="K227:K231" si="9">(E227*F227*(1+G227)+H227*I227)*J227</f>
        <v>0</v>
      </c>
    </row>
    <row r="228" spans="1:11" ht="13.8" thickBot="1">
      <c r="A228" s="2249"/>
      <c r="B228" s="2251"/>
      <c r="C228" s="1488" t="s">
        <v>1234</v>
      </c>
      <c r="D228" s="1746"/>
      <c r="E228" s="1244"/>
      <c r="F228" s="1131"/>
      <c r="G228" s="1131"/>
      <c r="H228" s="1137"/>
      <c r="I228" s="1132"/>
      <c r="J228" s="1132"/>
      <c r="K228" s="1564">
        <f t="shared" si="9"/>
        <v>0</v>
      </c>
    </row>
    <row r="229" spans="1:11" ht="13.8" thickBot="1">
      <c r="A229" s="2249"/>
      <c r="B229" s="2251"/>
      <c r="C229" s="1488" t="s">
        <v>1235</v>
      </c>
      <c r="D229" s="1746"/>
      <c r="E229" s="1244"/>
      <c r="F229" s="1131"/>
      <c r="G229" s="1131"/>
      <c r="H229" s="1136"/>
      <c r="I229" s="1132"/>
      <c r="J229" s="1132"/>
      <c r="K229" s="1564">
        <f t="shared" si="9"/>
        <v>0</v>
      </c>
    </row>
    <row r="230" spans="1:11" ht="13.8" thickBot="1">
      <c r="A230" s="2249"/>
      <c r="B230" s="2251"/>
      <c r="C230" s="1489" t="s">
        <v>1236</v>
      </c>
      <c r="D230" s="1746"/>
      <c r="E230" s="1244"/>
      <c r="F230" s="1131"/>
      <c r="G230" s="1131"/>
      <c r="H230" s="1136"/>
      <c r="I230" s="1132"/>
      <c r="J230" s="1132"/>
      <c r="K230" s="1564">
        <f t="shared" si="9"/>
        <v>0</v>
      </c>
    </row>
    <row r="231" spans="1:11" ht="13.8" thickBot="1">
      <c r="A231" s="2249"/>
      <c r="B231" s="2251"/>
      <c r="C231" s="1488" t="s">
        <v>1237</v>
      </c>
      <c r="D231" s="1746"/>
      <c r="E231" s="1244"/>
      <c r="F231" s="1131"/>
      <c r="G231" s="1131"/>
      <c r="H231" s="1137"/>
      <c r="I231" s="1132"/>
      <c r="J231" s="1132"/>
      <c r="K231" s="1564">
        <f t="shared" si="9"/>
        <v>0</v>
      </c>
    </row>
    <row r="232" spans="1:11" ht="13.8" thickBot="1">
      <c r="A232" s="2249"/>
      <c r="B232" s="2252"/>
      <c r="C232" s="2247" t="s">
        <v>1230</v>
      </c>
      <c r="D232" s="2248"/>
      <c r="E232" s="1121">
        <f>SUM(E226:E231)</f>
        <v>0</v>
      </c>
      <c r="F232" s="1134"/>
      <c r="G232" s="1134"/>
      <c r="H232" s="1134"/>
      <c r="I232" s="1135"/>
      <c r="J232" s="1135"/>
      <c r="K232" s="1428">
        <f>SUM(K226:K231)</f>
        <v>0</v>
      </c>
    </row>
    <row r="233" spans="1:11" ht="13.8" thickBot="1">
      <c r="A233" s="2233" t="s">
        <v>250</v>
      </c>
      <c r="B233" s="2234"/>
      <c r="C233" s="2234"/>
      <c r="D233" s="2235"/>
      <c r="E233" s="1530">
        <f>SUM(E224,E232)</f>
        <v>0</v>
      </c>
      <c r="F233" s="1129"/>
      <c r="G233" s="1129"/>
      <c r="H233" s="1129"/>
      <c r="I233" s="1129"/>
      <c r="J233" s="1456"/>
      <c r="K233" s="1427">
        <f>K224+K232</f>
        <v>0</v>
      </c>
    </row>
    <row r="235" spans="1:11" ht="13.8" thickBot="1">
      <c r="A235" s="496" t="s">
        <v>1319</v>
      </c>
      <c r="B235" s="496"/>
      <c r="C235" s="496"/>
      <c r="D235" s="496"/>
      <c r="E235" s="496"/>
      <c r="F235" s="496"/>
      <c r="G235" s="496"/>
      <c r="H235" s="496"/>
      <c r="I235" s="496"/>
      <c r="J235" s="496"/>
    </row>
    <row r="236" spans="1:11" ht="13.8" thickBot="1">
      <c r="A236" s="2270" t="s">
        <v>1183</v>
      </c>
      <c r="B236" s="2271"/>
      <c r="C236" s="498" t="s">
        <v>1184</v>
      </c>
      <c r="D236" s="2244" t="s">
        <v>1281</v>
      </c>
      <c r="E236" s="2245"/>
      <c r="F236" s="2245"/>
      <c r="G236" s="2245"/>
      <c r="H236" s="2245"/>
      <c r="I236" s="2246"/>
      <c r="J236" s="498" t="s">
        <v>1282</v>
      </c>
    </row>
    <row r="237" spans="1:11" ht="27" thickBot="1">
      <c r="A237" s="2268" t="s">
        <v>1187</v>
      </c>
      <c r="B237" s="2269"/>
      <c r="C237" s="2253" t="s">
        <v>1188</v>
      </c>
      <c r="D237" s="2253" t="s">
        <v>2434</v>
      </c>
      <c r="E237" s="1108" t="s">
        <v>1283</v>
      </c>
      <c r="F237" s="1108" t="s">
        <v>1284</v>
      </c>
      <c r="G237" s="1108" t="s">
        <v>1191</v>
      </c>
      <c r="H237" s="1108" t="s">
        <v>1193</v>
      </c>
      <c r="I237" s="1108" t="s">
        <v>1285</v>
      </c>
      <c r="J237" s="1108" t="s">
        <v>1286</v>
      </c>
    </row>
    <row r="238" spans="1:11">
      <c r="A238" s="2253" t="s">
        <v>1195</v>
      </c>
      <c r="B238" s="2253" t="s">
        <v>1196</v>
      </c>
      <c r="C238" s="2254"/>
      <c r="D238" s="2254"/>
      <c r="E238" s="2253" t="s">
        <v>1287</v>
      </c>
      <c r="F238" s="2253" t="s">
        <v>1288</v>
      </c>
      <c r="G238" s="866" t="s">
        <v>1250</v>
      </c>
      <c r="H238" s="866" t="s">
        <v>1200</v>
      </c>
      <c r="I238" s="866" t="s">
        <v>1289</v>
      </c>
      <c r="J238" s="2253" t="s">
        <v>1201</v>
      </c>
    </row>
    <row r="239" spans="1:11" ht="15" thickBot="1">
      <c r="A239" s="2254"/>
      <c r="B239" s="2254"/>
      <c r="C239" s="2254"/>
      <c r="D239" s="2254"/>
      <c r="E239" s="2255"/>
      <c r="F239" s="2255"/>
      <c r="G239" s="1109" t="s">
        <v>1252</v>
      </c>
      <c r="H239" s="1109" t="s">
        <v>1203</v>
      </c>
      <c r="I239" s="1109" t="s">
        <v>1290</v>
      </c>
      <c r="J239" s="2255"/>
    </row>
    <row r="240" spans="1:11" ht="14.4">
      <c r="A240" s="2254"/>
      <c r="B240" s="2254"/>
      <c r="C240" s="2254"/>
      <c r="D240" s="2254"/>
      <c r="E240" s="2253" t="s">
        <v>1204</v>
      </c>
      <c r="F240" s="2253" t="s">
        <v>1291</v>
      </c>
      <c r="G240" s="866" t="s">
        <v>1254</v>
      </c>
      <c r="H240" s="866" t="s">
        <v>1255</v>
      </c>
      <c r="I240" s="2253" t="s">
        <v>1292</v>
      </c>
      <c r="J240" s="490" t="s">
        <v>1293</v>
      </c>
    </row>
    <row r="241" spans="1:11" ht="15" thickBot="1">
      <c r="A241" s="2254"/>
      <c r="B241" s="2254"/>
      <c r="C241" s="2254"/>
      <c r="D241" s="2254"/>
      <c r="E241" s="2255"/>
      <c r="F241" s="2255"/>
      <c r="G241" s="1109"/>
      <c r="H241" s="1109"/>
      <c r="I241" s="2255"/>
      <c r="J241" s="1140" t="s">
        <v>1294</v>
      </c>
    </row>
    <row r="242" spans="1:11" ht="15" thickBot="1">
      <c r="A242" s="2254"/>
      <c r="B242" s="2254"/>
      <c r="C242" s="2254"/>
      <c r="D242" s="2255"/>
      <c r="E242" s="1438" t="s">
        <v>1295</v>
      </c>
      <c r="F242" s="1438" t="s">
        <v>1296</v>
      </c>
      <c r="G242" s="1438" t="s">
        <v>1215</v>
      </c>
      <c r="H242" s="1438" t="s">
        <v>1217</v>
      </c>
      <c r="I242" s="1438" t="s">
        <v>1297</v>
      </c>
      <c r="J242" s="1438" t="s">
        <v>1298</v>
      </c>
    </row>
    <row r="243" spans="1:11" ht="13.8" thickBot="1">
      <c r="A243" s="2239" t="s">
        <v>1338</v>
      </c>
      <c r="B243" s="2293" t="s">
        <v>1219</v>
      </c>
      <c r="C243" s="1492" t="s">
        <v>1220</v>
      </c>
      <c r="D243" s="1487"/>
      <c r="E243" s="1506"/>
      <c r="F243" s="2329"/>
      <c r="G243" s="2329"/>
      <c r="H243" s="1507"/>
      <c r="I243" s="1440"/>
      <c r="J243" s="1440"/>
    </row>
    <row r="244" spans="1:11" ht="13.8" thickBot="1">
      <c r="A244" s="2240"/>
      <c r="B244" s="2254"/>
      <c r="C244" s="1110" t="s">
        <v>1260</v>
      </c>
      <c r="D244" s="1746"/>
      <c r="E244" s="1244"/>
      <c r="F244" s="1131">
        <v>280</v>
      </c>
      <c r="G244" s="1131">
        <v>0.37</v>
      </c>
      <c r="H244" s="1131">
        <v>0.54</v>
      </c>
      <c r="I244" s="1116">
        <f>E244*F244*(1+G244)*H244*1</f>
        <v>0</v>
      </c>
      <c r="J244" s="1563">
        <f>(E194*F194*(1+G244)*H244)+(K219)</f>
        <v>0</v>
      </c>
    </row>
    <row r="245" spans="1:11" ht="13.8" thickBot="1">
      <c r="A245" s="2240"/>
      <c r="B245" s="2254"/>
      <c r="C245" s="1110" t="s">
        <v>1261</v>
      </c>
      <c r="D245" s="1746"/>
      <c r="E245" s="1244"/>
      <c r="F245" s="1131">
        <v>180</v>
      </c>
      <c r="G245" s="1131">
        <v>0.24</v>
      </c>
      <c r="H245" s="1131">
        <v>0.52</v>
      </c>
      <c r="I245" s="1116">
        <f>E245*F245*(1+G245)*H245*1</f>
        <v>0</v>
      </c>
      <c r="J245" s="1563">
        <f t="shared" ref="J245:J248" si="10">(E195*F195*(1+G245)*H245)+(K220)</f>
        <v>0</v>
      </c>
    </row>
    <row r="246" spans="1:11" ht="13.8" thickBot="1">
      <c r="A246" s="2240"/>
      <c r="B246" s="2254"/>
      <c r="C246" s="1110" t="s">
        <v>1262</v>
      </c>
      <c r="D246" s="1746"/>
      <c r="E246" s="1244"/>
      <c r="F246" s="1131">
        <v>130</v>
      </c>
      <c r="G246" s="1131">
        <v>0.28000000000000003</v>
      </c>
      <c r="H246" s="1131">
        <v>0.49</v>
      </c>
      <c r="I246" s="1116">
        <f>E246*F246*(1+G246)*H246*1</f>
        <v>0</v>
      </c>
      <c r="J246" s="1563">
        <f t="shared" si="10"/>
        <v>0</v>
      </c>
    </row>
    <row r="247" spans="1:11" ht="13.8" thickBot="1">
      <c r="A247" s="2240"/>
      <c r="B247" s="2254"/>
      <c r="C247" s="1110" t="s">
        <v>1263</v>
      </c>
      <c r="D247" s="1746"/>
      <c r="E247" s="1244"/>
      <c r="F247" s="1131">
        <v>135</v>
      </c>
      <c r="G247" s="1131">
        <v>0.27</v>
      </c>
      <c r="H247" s="1131">
        <v>0.47</v>
      </c>
      <c r="I247" s="1116">
        <f>E247*F247*(1+G247)*H247*1</f>
        <v>0</v>
      </c>
      <c r="J247" s="1563">
        <f t="shared" si="10"/>
        <v>0</v>
      </c>
    </row>
    <row r="248" spans="1:11" ht="13.8" thickBot="1">
      <c r="A248" s="2240"/>
      <c r="B248" s="2254"/>
      <c r="C248" s="1110" t="s">
        <v>1264</v>
      </c>
      <c r="D248" s="1746"/>
      <c r="E248" s="1244"/>
      <c r="F248" s="1132">
        <v>142</v>
      </c>
      <c r="G248" s="1132">
        <v>0.49</v>
      </c>
      <c r="H248" s="1131">
        <v>0.55000000000000004</v>
      </c>
      <c r="I248" s="1116">
        <f>E248*F248*(1+G248)*H248*1</f>
        <v>0</v>
      </c>
      <c r="J248" s="1563">
        <f t="shared" si="10"/>
        <v>0</v>
      </c>
    </row>
    <row r="249" spans="1:11" ht="13.8" thickBot="1">
      <c r="A249" s="2240"/>
      <c r="B249" s="2254"/>
      <c r="C249" s="2247" t="s">
        <v>1230</v>
      </c>
      <c r="D249" s="2248"/>
      <c r="E249" s="1524">
        <f>SUM(E244:E248)</f>
        <v>0</v>
      </c>
      <c r="F249" s="1525"/>
      <c r="G249" s="1526"/>
      <c r="H249" s="1525"/>
      <c r="I249" s="1524">
        <f>SUM(I244:I248)</f>
        <v>0</v>
      </c>
      <c r="J249" s="1527">
        <f>SUM(J244:J248)</f>
        <v>0</v>
      </c>
      <c r="K249" s="492"/>
    </row>
    <row r="250" spans="1:11" ht="13.8" thickBot="1">
      <c r="A250" s="2240"/>
      <c r="B250" s="2115"/>
      <c r="C250" s="1492" t="s">
        <v>1231</v>
      </c>
      <c r="D250" s="1487"/>
      <c r="E250" s="1506"/>
      <c r="F250" s="2329"/>
      <c r="G250" s="2329"/>
      <c r="H250" s="1507"/>
      <c r="I250" s="1528"/>
      <c r="J250" s="1457"/>
    </row>
    <row r="251" spans="1:11" ht="13.8" thickBot="1">
      <c r="A251" s="2240"/>
      <c r="B251" s="2254"/>
      <c r="C251" s="1110" t="s">
        <v>1232</v>
      </c>
      <c r="D251" s="1746"/>
      <c r="E251" s="1244"/>
      <c r="F251" s="1131">
        <v>120</v>
      </c>
      <c r="G251" s="1131">
        <v>0.39</v>
      </c>
      <c r="H251" s="1136">
        <v>0.49880000000000002</v>
      </c>
      <c r="I251" s="1116">
        <f>E251*F251*(1+G251)*H251*1</f>
        <v>0</v>
      </c>
      <c r="J251" s="1563">
        <f>(E201*F201*(1+G251)*H251)+(K226)</f>
        <v>0</v>
      </c>
    </row>
    <row r="252" spans="1:11" ht="13.8" thickBot="1">
      <c r="A252" s="2240"/>
      <c r="B252" s="2254"/>
      <c r="C252" s="1110" t="s">
        <v>1233</v>
      </c>
      <c r="D252" s="1746"/>
      <c r="E252" s="1244"/>
      <c r="F252" s="1131">
        <v>120</v>
      </c>
      <c r="G252" s="1131">
        <v>0.27</v>
      </c>
      <c r="H252" s="1136">
        <v>0.48130000000000001</v>
      </c>
      <c r="I252" s="1116">
        <f>E252*F252*(1+G252)*H252*1</f>
        <v>0</v>
      </c>
      <c r="J252" s="1563">
        <f t="shared" ref="J252:J255" si="11">(E202*F202*(1+G252)*H252)+(K227)</f>
        <v>0</v>
      </c>
    </row>
    <row r="253" spans="1:11" ht="13.8" thickBot="1">
      <c r="A253" s="2240"/>
      <c r="B253" s="2254"/>
      <c r="C253" s="1110" t="s">
        <v>1234</v>
      </c>
      <c r="D253" s="1746"/>
      <c r="E253" s="1244"/>
      <c r="F253" s="1131">
        <v>120</v>
      </c>
      <c r="G253" s="1131">
        <v>0.24</v>
      </c>
      <c r="H253" s="1137">
        <v>0.47</v>
      </c>
      <c r="I253" s="1116">
        <f>E253*F253*(1+G253)*H253*0.3</f>
        <v>0</v>
      </c>
      <c r="J253" s="1563">
        <f t="shared" si="11"/>
        <v>0</v>
      </c>
    </row>
    <row r="254" spans="1:11" ht="13.8" thickBot="1">
      <c r="A254" s="2240"/>
      <c r="B254" s="2254"/>
      <c r="C254" s="1110" t="s">
        <v>1235</v>
      </c>
      <c r="D254" s="1746"/>
      <c r="E254" s="1244"/>
      <c r="F254" s="1131">
        <v>120</v>
      </c>
      <c r="G254" s="1131">
        <v>0.48</v>
      </c>
      <c r="H254" s="1136">
        <v>0.47149999999999997</v>
      </c>
      <c r="I254" s="1116">
        <f>E254*F254*(1+G254)*H254*0.3</f>
        <v>0</v>
      </c>
      <c r="J254" s="1563">
        <f>(E204*F204*(1+G254)*H254)+(K229)</f>
        <v>0</v>
      </c>
    </row>
    <row r="255" spans="1:11" ht="13.8" thickBot="1">
      <c r="A255" s="2240"/>
      <c r="B255" s="2254"/>
      <c r="C255" s="1110" t="s">
        <v>1236</v>
      </c>
      <c r="D255" s="1746"/>
      <c r="E255" s="1244"/>
      <c r="F255" s="1131">
        <v>120</v>
      </c>
      <c r="G255" s="1131">
        <v>0.26</v>
      </c>
      <c r="H255" s="1136">
        <v>0.4733</v>
      </c>
      <c r="I255" s="1116">
        <f>E255*F255*(1+G255)*H255*0.3</f>
        <v>0</v>
      </c>
      <c r="J255" s="1563">
        <f t="shared" si="11"/>
        <v>0</v>
      </c>
    </row>
    <row r="256" spans="1:11" ht="13.8" thickBot="1">
      <c r="A256" s="2240"/>
      <c r="B256" s="2254"/>
      <c r="C256" s="1110" t="s">
        <v>1237</v>
      </c>
      <c r="D256" s="1746"/>
      <c r="E256" s="1244"/>
      <c r="F256" s="1131">
        <v>120</v>
      </c>
      <c r="G256" s="1131">
        <v>0.24</v>
      </c>
      <c r="H256" s="1137">
        <v>0.47</v>
      </c>
      <c r="I256" s="1116">
        <f>E256*F256*(1+G256)*H256*1</f>
        <v>0</v>
      </c>
      <c r="J256" s="1563">
        <f t="shared" ref="J256" si="12">(E206*F206*(1+G256)*H256)+(K231)+(J132)</f>
        <v>0</v>
      </c>
    </row>
    <row r="257" spans="1:777 1026:1801 2050:2825 3074:3849 4098:4873 5122:5897 6146:6921 7170:7945 8194:8969 9218:9993 10242:11017 11266:12041 12290:13065 13314:14089 14338:15113 15362:16137" ht="13.8" thickBot="1">
      <c r="A257" s="2305"/>
      <c r="B257" s="2255"/>
      <c r="C257" s="2247" t="s">
        <v>1230</v>
      </c>
      <c r="D257" s="2248"/>
      <c r="E257" s="1120">
        <f>SUM(E251:E256)</f>
        <v>0</v>
      </c>
      <c r="F257" s="1124"/>
      <c r="G257" s="1122"/>
      <c r="H257" s="1124"/>
      <c r="I257" s="1120">
        <f>SUM(I251:I256)</f>
        <v>0</v>
      </c>
      <c r="J257" s="523">
        <f>SUM(J251:J256)</f>
        <v>0</v>
      </c>
    </row>
    <row r="258" spans="1:777 1026:1801 2050:2825 3074:3849 4098:4873 5122:5897 6146:6921 7170:7945 8194:8969 9218:9993 10242:11017 11266:12041 12290:13065 13314:14089 14338:15113 15362:16137" ht="13.8" thickBot="1">
      <c r="A258" s="2233" t="s">
        <v>250</v>
      </c>
      <c r="B258" s="2234"/>
      <c r="C258" s="2234"/>
      <c r="D258" s="2235"/>
      <c r="E258" s="510">
        <f>E249+E257</f>
        <v>0</v>
      </c>
      <c r="F258" s="511"/>
      <c r="G258" s="511"/>
      <c r="H258" s="512"/>
      <c r="I258" s="1432">
        <f>I249+I257</f>
        <v>0</v>
      </c>
      <c r="J258" s="1432">
        <f>J249+J257</f>
        <v>0</v>
      </c>
    </row>
    <row r="259" spans="1:777 1026:1801 2050:2825 3074:3849 4098:4873 5122:5897 6146:6921 7170:7945 8194:8969 9218:9993 10242:11017 11266:12041 12290:13065 13314:14089 14338:15113 15362:16137" ht="13.8" thickBot="1">
      <c r="A259" s="2306" t="s">
        <v>1299</v>
      </c>
      <c r="B259" s="2307"/>
      <c r="C259" s="2307"/>
      <c r="D259" s="2307"/>
      <c r="E259" s="2307"/>
      <c r="F259" s="2307"/>
      <c r="G259" s="2307"/>
      <c r="H259" s="2307"/>
      <c r="I259" s="2307"/>
      <c r="J259" s="1532"/>
    </row>
    <row r="261" spans="1:777 1026:1801 2050:2825 3074:3849 4098:4873 5122:5897 6146:6921 7170:7945 8194:8969 9218:9993 10242:11017 11266:12041 12290:13065 13314:14089 14338:15113 15362:16137" ht="13.8" thickBot="1">
      <c r="A261" s="526" t="s">
        <v>1320</v>
      </c>
      <c r="B261" s="526"/>
      <c r="C261" s="526"/>
      <c r="D261" s="526"/>
      <c r="E261" s="526"/>
      <c r="F261" s="526"/>
      <c r="G261" s="526"/>
      <c r="H261" s="526"/>
      <c r="I261" s="526"/>
      <c r="IX261" s="99" t="s">
        <v>1321</v>
      </c>
      <c r="IZ261" s="99" t="s">
        <v>1320</v>
      </c>
      <c r="ST261" s="99" t="s">
        <v>1321</v>
      </c>
      <c r="SV261" s="99" t="s">
        <v>1320</v>
      </c>
      <c r="ACP261" s="99" t="s">
        <v>1321</v>
      </c>
      <c r="ACR261" s="99" t="s">
        <v>1320</v>
      </c>
      <c r="AML261" s="99" t="s">
        <v>1321</v>
      </c>
      <c r="AMN261" s="99" t="s">
        <v>1320</v>
      </c>
      <c r="AWH261" s="99" t="s">
        <v>1321</v>
      </c>
      <c r="AWJ261" s="99" t="s">
        <v>1320</v>
      </c>
      <c r="BGD261" s="99" t="s">
        <v>1321</v>
      </c>
      <c r="BGF261" s="99" t="s">
        <v>1320</v>
      </c>
      <c r="BPZ261" s="99" t="s">
        <v>1321</v>
      </c>
      <c r="BQB261" s="99" t="s">
        <v>1320</v>
      </c>
      <c r="BZV261" s="99" t="s">
        <v>1321</v>
      </c>
      <c r="BZX261" s="99" t="s">
        <v>1320</v>
      </c>
      <c r="CJR261" s="99" t="s">
        <v>1321</v>
      </c>
      <c r="CJT261" s="99" t="s">
        <v>1320</v>
      </c>
      <c r="CTN261" s="99" t="s">
        <v>1321</v>
      </c>
      <c r="CTP261" s="99" t="s">
        <v>1320</v>
      </c>
      <c r="DDJ261" s="99" t="s">
        <v>1321</v>
      </c>
      <c r="DDL261" s="99" t="s">
        <v>1320</v>
      </c>
      <c r="DNF261" s="99" t="s">
        <v>1321</v>
      </c>
      <c r="DNH261" s="99" t="s">
        <v>1320</v>
      </c>
      <c r="DXB261" s="99" t="s">
        <v>1321</v>
      </c>
      <c r="DXD261" s="99" t="s">
        <v>1320</v>
      </c>
      <c r="EGX261" s="99" t="s">
        <v>1321</v>
      </c>
      <c r="EGZ261" s="99" t="s">
        <v>1320</v>
      </c>
      <c r="EQT261" s="99" t="s">
        <v>1321</v>
      </c>
      <c r="EQV261" s="99" t="s">
        <v>1320</v>
      </c>
      <c r="FAP261" s="99" t="s">
        <v>1321</v>
      </c>
      <c r="FAR261" s="99" t="s">
        <v>1320</v>
      </c>
      <c r="FKL261" s="99" t="s">
        <v>1321</v>
      </c>
      <c r="FKN261" s="99" t="s">
        <v>1320</v>
      </c>
      <c r="FUH261" s="99" t="s">
        <v>1321</v>
      </c>
      <c r="FUJ261" s="99" t="s">
        <v>1320</v>
      </c>
      <c r="GED261" s="99" t="s">
        <v>1321</v>
      </c>
      <c r="GEF261" s="99" t="s">
        <v>1320</v>
      </c>
      <c r="GNZ261" s="99" t="s">
        <v>1321</v>
      </c>
      <c r="GOB261" s="99" t="s">
        <v>1320</v>
      </c>
      <c r="GXV261" s="99" t="s">
        <v>1321</v>
      </c>
      <c r="GXX261" s="99" t="s">
        <v>1320</v>
      </c>
      <c r="HHR261" s="99" t="s">
        <v>1321</v>
      </c>
      <c r="HHT261" s="99" t="s">
        <v>1320</v>
      </c>
      <c r="HRN261" s="99" t="s">
        <v>1321</v>
      </c>
      <c r="HRP261" s="99" t="s">
        <v>1320</v>
      </c>
      <c r="IBJ261" s="99" t="s">
        <v>1321</v>
      </c>
      <c r="IBL261" s="99" t="s">
        <v>1320</v>
      </c>
      <c r="ILF261" s="99" t="s">
        <v>1321</v>
      </c>
      <c r="ILH261" s="99" t="s">
        <v>1320</v>
      </c>
      <c r="IVB261" s="99" t="s">
        <v>1321</v>
      </c>
      <c r="IVD261" s="99" t="s">
        <v>1320</v>
      </c>
      <c r="JEX261" s="99" t="s">
        <v>1321</v>
      </c>
      <c r="JEZ261" s="99" t="s">
        <v>1320</v>
      </c>
      <c r="JOT261" s="99" t="s">
        <v>1321</v>
      </c>
      <c r="JOV261" s="99" t="s">
        <v>1320</v>
      </c>
      <c r="JYP261" s="99" t="s">
        <v>1321</v>
      </c>
      <c r="JYR261" s="99" t="s">
        <v>1320</v>
      </c>
      <c r="KIL261" s="99" t="s">
        <v>1321</v>
      </c>
      <c r="KIN261" s="99" t="s">
        <v>1320</v>
      </c>
      <c r="KSH261" s="99" t="s">
        <v>1321</v>
      </c>
      <c r="KSJ261" s="99" t="s">
        <v>1320</v>
      </c>
      <c r="LCD261" s="99" t="s">
        <v>1321</v>
      </c>
      <c r="LCF261" s="99" t="s">
        <v>1320</v>
      </c>
      <c r="LLZ261" s="99" t="s">
        <v>1321</v>
      </c>
      <c r="LMB261" s="99" t="s">
        <v>1320</v>
      </c>
      <c r="LVV261" s="99" t="s">
        <v>1321</v>
      </c>
      <c r="LVX261" s="99" t="s">
        <v>1320</v>
      </c>
      <c r="MFR261" s="99" t="s">
        <v>1321</v>
      </c>
      <c r="MFT261" s="99" t="s">
        <v>1320</v>
      </c>
      <c r="MPN261" s="99" t="s">
        <v>1321</v>
      </c>
      <c r="MPP261" s="99" t="s">
        <v>1320</v>
      </c>
      <c r="MZJ261" s="99" t="s">
        <v>1321</v>
      </c>
      <c r="MZL261" s="99" t="s">
        <v>1320</v>
      </c>
      <c r="NJF261" s="99" t="s">
        <v>1321</v>
      </c>
      <c r="NJH261" s="99" t="s">
        <v>1320</v>
      </c>
      <c r="NTB261" s="99" t="s">
        <v>1321</v>
      </c>
      <c r="NTD261" s="99" t="s">
        <v>1320</v>
      </c>
      <c r="OCX261" s="99" t="s">
        <v>1321</v>
      </c>
      <c r="OCZ261" s="99" t="s">
        <v>1320</v>
      </c>
      <c r="OMT261" s="99" t="s">
        <v>1321</v>
      </c>
      <c r="OMV261" s="99" t="s">
        <v>1320</v>
      </c>
      <c r="OWP261" s="99" t="s">
        <v>1321</v>
      </c>
      <c r="OWR261" s="99" t="s">
        <v>1320</v>
      </c>
      <c r="PGL261" s="99" t="s">
        <v>1321</v>
      </c>
      <c r="PGN261" s="99" t="s">
        <v>1320</v>
      </c>
      <c r="PQH261" s="99" t="s">
        <v>1321</v>
      </c>
      <c r="PQJ261" s="99" t="s">
        <v>1320</v>
      </c>
      <c r="QAD261" s="99" t="s">
        <v>1321</v>
      </c>
      <c r="QAF261" s="99" t="s">
        <v>1320</v>
      </c>
      <c r="QJZ261" s="99" t="s">
        <v>1321</v>
      </c>
      <c r="QKB261" s="99" t="s">
        <v>1320</v>
      </c>
      <c r="QTV261" s="99" t="s">
        <v>1321</v>
      </c>
      <c r="QTX261" s="99" t="s">
        <v>1320</v>
      </c>
      <c r="RDR261" s="99" t="s">
        <v>1321</v>
      </c>
      <c r="RDT261" s="99" t="s">
        <v>1320</v>
      </c>
      <c r="RNN261" s="99" t="s">
        <v>1321</v>
      </c>
      <c r="RNP261" s="99" t="s">
        <v>1320</v>
      </c>
      <c r="RXJ261" s="99" t="s">
        <v>1321</v>
      </c>
      <c r="RXL261" s="99" t="s">
        <v>1320</v>
      </c>
      <c r="SHF261" s="99" t="s">
        <v>1321</v>
      </c>
      <c r="SHH261" s="99" t="s">
        <v>1320</v>
      </c>
      <c r="SRB261" s="99" t="s">
        <v>1321</v>
      </c>
      <c r="SRD261" s="99" t="s">
        <v>1320</v>
      </c>
      <c r="TAX261" s="99" t="s">
        <v>1321</v>
      </c>
      <c r="TAZ261" s="99" t="s">
        <v>1320</v>
      </c>
      <c r="TKT261" s="99" t="s">
        <v>1321</v>
      </c>
      <c r="TKV261" s="99" t="s">
        <v>1320</v>
      </c>
      <c r="TUP261" s="99" t="s">
        <v>1321</v>
      </c>
      <c r="TUR261" s="99" t="s">
        <v>1320</v>
      </c>
      <c r="UEL261" s="99" t="s">
        <v>1321</v>
      </c>
      <c r="UEN261" s="99" t="s">
        <v>1320</v>
      </c>
      <c r="UOH261" s="99" t="s">
        <v>1321</v>
      </c>
      <c r="UOJ261" s="99" t="s">
        <v>1320</v>
      </c>
      <c r="UYD261" s="99" t="s">
        <v>1321</v>
      </c>
      <c r="UYF261" s="99" t="s">
        <v>1320</v>
      </c>
      <c r="VHZ261" s="99" t="s">
        <v>1321</v>
      </c>
      <c r="VIB261" s="99" t="s">
        <v>1320</v>
      </c>
      <c r="VRV261" s="99" t="s">
        <v>1321</v>
      </c>
      <c r="VRX261" s="99" t="s">
        <v>1320</v>
      </c>
      <c r="WBR261" s="99" t="s">
        <v>1321</v>
      </c>
      <c r="WBT261" s="99" t="s">
        <v>1320</v>
      </c>
      <c r="WLN261" s="99" t="s">
        <v>1321</v>
      </c>
      <c r="WLP261" s="99" t="s">
        <v>1320</v>
      </c>
      <c r="WVJ261" s="99" t="s">
        <v>1321</v>
      </c>
      <c r="WVL261" s="99" t="s">
        <v>1320</v>
      </c>
    </row>
    <row r="262" spans="1:777 1026:1801 2050:2825 3074:3849 4098:4873 5122:5897 6146:6921 7170:7945 8194:8969 9218:9993 10242:11017 11266:12041 12290:13065 13314:14089 14338:15113 15362:16137" ht="13.8" thickBot="1">
      <c r="A262" s="2270" t="s">
        <v>1183</v>
      </c>
      <c r="B262" s="2271"/>
      <c r="C262" s="1107" t="s">
        <v>1184</v>
      </c>
      <c r="D262" s="2236" t="s">
        <v>1322</v>
      </c>
      <c r="E262" s="2237"/>
      <c r="F262" s="2237"/>
      <c r="G262" s="2237"/>
      <c r="H262" s="2237"/>
      <c r="I262" s="2238"/>
      <c r="IX262" s="99" t="s">
        <v>1183</v>
      </c>
      <c r="IZ262" s="99" t="s">
        <v>1184</v>
      </c>
      <c r="JA262" s="99" t="s">
        <v>1322</v>
      </c>
      <c r="ST262" s="99" t="s">
        <v>1183</v>
      </c>
      <c r="SV262" s="99" t="s">
        <v>1184</v>
      </c>
      <c r="SW262" s="99" t="s">
        <v>1322</v>
      </c>
      <c r="ACP262" s="99" t="s">
        <v>1183</v>
      </c>
      <c r="ACR262" s="99" t="s">
        <v>1184</v>
      </c>
      <c r="ACS262" s="99" t="s">
        <v>1322</v>
      </c>
      <c r="AML262" s="99" t="s">
        <v>1183</v>
      </c>
      <c r="AMN262" s="99" t="s">
        <v>1184</v>
      </c>
      <c r="AMO262" s="99" t="s">
        <v>1322</v>
      </c>
      <c r="AWH262" s="99" t="s">
        <v>1183</v>
      </c>
      <c r="AWJ262" s="99" t="s">
        <v>1184</v>
      </c>
      <c r="AWK262" s="99" t="s">
        <v>1322</v>
      </c>
      <c r="BGD262" s="99" t="s">
        <v>1183</v>
      </c>
      <c r="BGF262" s="99" t="s">
        <v>1184</v>
      </c>
      <c r="BGG262" s="99" t="s">
        <v>1322</v>
      </c>
      <c r="BPZ262" s="99" t="s">
        <v>1183</v>
      </c>
      <c r="BQB262" s="99" t="s">
        <v>1184</v>
      </c>
      <c r="BQC262" s="99" t="s">
        <v>1322</v>
      </c>
      <c r="BZV262" s="99" t="s">
        <v>1183</v>
      </c>
      <c r="BZX262" s="99" t="s">
        <v>1184</v>
      </c>
      <c r="BZY262" s="99" t="s">
        <v>1322</v>
      </c>
      <c r="CJR262" s="99" t="s">
        <v>1183</v>
      </c>
      <c r="CJT262" s="99" t="s">
        <v>1184</v>
      </c>
      <c r="CJU262" s="99" t="s">
        <v>1322</v>
      </c>
      <c r="CTN262" s="99" t="s">
        <v>1183</v>
      </c>
      <c r="CTP262" s="99" t="s">
        <v>1184</v>
      </c>
      <c r="CTQ262" s="99" t="s">
        <v>1322</v>
      </c>
      <c r="DDJ262" s="99" t="s">
        <v>1183</v>
      </c>
      <c r="DDL262" s="99" t="s">
        <v>1184</v>
      </c>
      <c r="DDM262" s="99" t="s">
        <v>1322</v>
      </c>
      <c r="DNF262" s="99" t="s">
        <v>1183</v>
      </c>
      <c r="DNH262" s="99" t="s">
        <v>1184</v>
      </c>
      <c r="DNI262" s="99" t="s">
        <v>1322</v>
      </c>
      <c r="DXB262" s="99" t="s">
        <v>1183</v>
      </c>
      <c r="DXD262" s="99" t="s">
        <v>1184</v>
      </c>
      <c r="DXE262" s="99" t="s">
        <v>1322</v>
      </c>
      <c r="EGX262" s="99" t="s">
        <v>1183</v>
      </c>
      <c r="EGZ262" s="99" t="s">
        <v>1184</v>
      </c>
      <c r="EHA262" s="99" t="s">
        <v>1322</v>
      </c>
      <c r="EQT262" s="99" t="s">
        <v>1183</v>
      </c>
      <c r="EQV262" s="99" t="s">
        <v>1184</v>
      </c>
      <c r="EQW262" s="99" t="s">
        <v>1322</v>
      </c>
      <c r="FAP262" s="99" t="s">
        <v>1183</v>
      </c>
      <c r="FAR262" s="99" t="s">
        <v>1184</v>
      </c>
      <c r="FAS262" s="99" t="s">
        <v>1322</v>
      </c>
      <c r="FKL262" s="99" t="s">
        <v>1183</v>
      </c>
      <c r="FKN262" s="99" t="s">
        <v>1184</v>
      </c>
      <c r="FKO262" s="99" t="s">
        <v>1322</v>
      </c>
      <c r="FUH262" s="99" t="s">
        <v>1183</v>
      </c>
      <c r="FUJ262" s="99" t="s">
        <v>1184</v>
      </c>
      <c r="FUK262" s="99" t="s">
        <v>1322</v>
      </c>
      <c r="GED262" s="99" t="s">
        <v>1183</v>
      </c>
      <c r="GEF262" s="99" t="s">
        <v>1184</v>
      </c>
      <c r="GEG262" s="99" t="s">
        <v>1322</v>
      </c>
      <c r="GNZ262" s="99" t="s">
        <v>1183</v>
      </c>
      <c r="GOB262" s="99" t="s">
        <v>1184</v>
      </c>
      <c r="GOC262" s="99" t="s">
        <v>1322</v>
      </c>
      <c r="GXV262" s="99" t="s">
        <v>1183</v>
      </c>
      <c r="GXX262" s="99" t="s">
        <v>1184</v>
      </c>
      <c r="GXY262" s="99" t="s">
        <v>1322</v>
      </c>
      <c r="HHR262" s="99" t="s">
        <v>1183</v>
      </c>
      <c r="HHT262" s="99" t="s">
        <v>1184</v>
      </c>
      <c r="HHU262" s="99" t="s">
        <v>1322</v>
      </c>
      <c r="HRN262" s="99" t="s">
        <v>1183</v>
      </c>
      <c r="HRP262" s="99" t="s">
        <v>1184</v>
      </c>
      <c r="HRQ262" s="99" t="s">
        <v>1322</v>
      </c>
      <c r="IBJ262" s="99" t="s">
        <v>1183</v>
      </c>
      <c r="IBL262" s="99" t="s">
        <v>1184</v>
      </c>
      <c r="IBM262" s="99" t="s">
        <v>1322</v>
      </c>
      <c r="ILF262" s="99" t="s">
        <v>1183</v>
      </c>
      <c r="ILH262" s="99" t="s">
        <v>1184</v>
      </c>
      <c r="ILI262" s="99" t="s">
        <v>1322</v>
      </c>
      <c r="IVB262" s="99" t="s">
        <v>1183</v>
      </c>
      <c r="IVD262" s="99" t="s">
        <v>1184</v>
      </c>
      <c r="IVE262" s="99" t="s">
        <v>1322</v>
      </c>
      <c r="JEX262" s="99" t="s">
        <v>1183</v>
      </c>
      <c r="JEZ262" s="99" t="s">
        <v>1184</v>
      </c>
      <c r="JFA262" s="99" t="s">
        <v>1322</v>
      </c>
      <c r="JOT262" s="99" t="s">
        <v>1183</v>
      </c>
      <c r="JOV262" s="99" t="s">
        <v>1184</v>
      </c>
      <c r="JOW262" s="99" t="s">
        <v>1322</v>
      </c>
      <c r="JYP262" s="99" t="s">
        <v>1183</v>
      </c>
      <c r="JYR262" s="99" t="s">
        <v>1184</v>
      </c>
      <c r="JYS262" s="99" t="s">
        <v>1322</v>
      </c>
      <c r="KIL262" s="99" t="s">
        <v>1183</v>
      </c>
      <c r="KIN262" s="99" t="s">
        <v>1184</v>
      </c>
      <c r="KIO262" s="99" t="s">
        <v>1322</v>
      </c>
      <c r="KSH262" s="99" t="s">
        <v>1183</v>
      </c>
      <c r="KSJ262" s="99" t="s">
        <v>1184</v>
      </c>
      <c r="KSK262" s="99" t="s">
        <v>1322</v>
      </c>
      <c r="LCD262" s="99" t="s">
        <v>1183</v>
      </c>
      <c r="LCF262" s="99" t="s">
        <v>1184</v>
      </c>
      <c r="LCG262" s="99" t="s">
        <v>1322</v>
      </c>
      <c r="LLZ262" s="99" t="s">
        <v>1183</v>
      </c>
      <c r="LMB262" s="99" t="s">
        <v>1184</v>
      </c>
      <c r="LMC262" s="99" t="s">
        <v>1322</v>
      </c>
      <c r="LVV262" s="99" t="s">
        <v>1183</v>
      </c>
      <c r="LVX262" s="99" t="s">
        <v>1184</v>
      </c>
      <c r="LVY262" s="99" t="s">
        <v>1322</v>
      </c>
      <c r="MFR262" s="99" t="s">
        <v>1183</v>
      </c>
      <c r="MFT262" s="99" t="s">
        <v>1184</v>
      </c>
      <c r="MFU262" s="99" t="s">
        <v>1322</v>
      </c>
      <c r="MPN262" s="99" t="s">
        <v>1183</v>
      </c>
      <c r="MPP262" s="99" t="s">
        <v>1184</v>
      </c>
      <c r="MPQ262" s="99" t="s">
        <v>1322</v>
      </c>
      <c r="MZJ262" s="99" t="s">
        <v>1183</v>
      </c>
      <c r="MZL262" s="99" t="s">
        <v>1184</v>
      </c>
      <c r="MZM262" s="99" t="s">
        <v>1322</v>
      </c>
      <c r="NJF262" s="99" t="s">
        <v>1183</v>
      </c>
      <c r="NJH262" s="99" t="s">
        <v>1184</v>
      </c>
      <c r="NJI262" s="99" t="s">
        <v>1322</v>
      </c>
      <c r="NTB262" s="99" t="s">
        <v>1183</v>
      </c>
      <c r="NTD262" s="99" t="s">
        <v>1184</v>
      </c>
      <c r="NTE262" s="99" t="s">
        <v>1322</v>
      </c>
      <c r="OCX262" s="99" t="s">
        <v>1183</v>
      </c>
      <c r="OCZ262" s="99" t="s">
        <v>1184</v>
      </c>
      <c r="ODA262" s="99" t="s">
        <v>1322</v>
      </c>
      <c r="OMT262" s="99" t="s">
        <v>1183</v>
      </c>
      <c r="OMV262" s="99" t="s">
        <v>1184</v>
      </c>
      <c r="OMW262" s="99" t="s">
        <v>1322</v>
      </c>
      <c r="OWP262" s="99" t="s">
        <v>1183</v>
      </c>
      <c r="OWR262" s="99" t="s">
        <v>1184</v>
      </c>
      <c r="OWS262" s="99" t="s">
        <v>1322</v>
      </c>
      <c r="PGL262" s="99" t="s">
        <v>1183</v>
      </c>
      <c r="PGN262" s="99" t="s">
        <v>1184</v>
      </c>
      <c r="PGO262" s="99" t="s">
        <v>1322</v>
      </c>
      <c r="PQH262" s="99" t="s">
        <v>1183</v>
      </c>
      <c r="PQJ262" s="99" t="s">
        <v>1184</v>
      </c>
      <c r="PQK262" s="99" t="s">
        <v>1322</v>
      </c>
      <c r="QAD262" s="99" t="s">
        <v>1183</v>
      </c>
      <c r="QAF262" s="99" t="s">
        <v>1184</v>
      </c>
      <c r="QAG262" s="99" t="s">
        <v>1322</v>
      </c>
      <c r="QJZ262" s="99" t="s">
        <v>1183</v>
      </c>
      <c r="QKB262" s="99" t="s">
        <v>1184</v>
      </c>
      <c r="QKC262" s="99" t="s">
        <v>1322</v>
      </c>
      <c r="QTV262" s="99" t="s">
        <v>1183</v>
      </c>
      <c r="QTX262" s="99" t="s">
        <v>1184</v>
      </c>
      <c r="QTY262" s="99" t="s">
        <v>1322</v>
      </c>
      <c r="RDR262" s="99" t="s">
        <v>1183</v>
      </c>
      <c r="RDT262" s="99" t="s">
        <v>1184</v>
      </c>
      <c r="RDU262" s="99" t="s">
        <v>1322</v>
      </c>
      <c r="RNN262" s="99" t="s">
        <v>1183</v>
      </c>
      <c r="RNP262" s="99" t="s">
        <v>1184</v>
      </c>
      <c r="RNQ262" s="99" t="s">
        <v>1322</v>
      </c>
      <c r="RXJ262" s="99" t="s">
        <v>1183</v>
      </c>
      <c r="RXL262" s="99" t="s">
        <v>1184</v>
      </c>
      <c r="RXM262" s="99" t="s">
        <v>1322</v>
      </c>
      <c r="SHF262" s="99" t="s">
        <v>1183</v>
      </c>
      <c r="SHH262" s="99" t="s">
        <v>1184</v>
      </c>
      <c r="SHI262" s="99" t="s">
        <v>1322</v>
      </c>
      <c r="SRB262" s="99" t="s">
        <v>1183</v>
      </c>
      <c r="SRD262" s="99" t="s">
        <v>1184</v>
      </c>
      <c r="SRE262" s="99" t="s">
        <v>1322</v>
      </c>
      <c r="TAX262" s="99" t="s">
        <v>1183</v>
      </c>
      <c r="TAZ262" s="99" t="s">
        <v>1184</v>
      </c>
      <c r="TBA262" s="99" t="s">
        <v>1322</v>
      </c>
      <c r="TKT262" s="99" t="s">
        <v>1183</v>
      </c>
      <c r="TKV262" s="99" t="s">
        <v>1184</v>
      </c>
      <c r="TKW262" s="99" t="s">
        <v>1322</v>
      </c>
      <c r="TUP262" s="99" t="s">
        <v>1183</v>
      </c>
      <c r="TUR262" s="99" t="s">
        <v>1184</v>
      </c>
      <c r="TUS262" s="99" t="s">
        <v>1322</v>
      </c>
      <c r="UEL262" s="99" t="s">
        <v>1183</v>
      </c>
      <c r="UEN262" s="99" t="s">
        <v>1184</v>
      </c>
      <c r="UEO262" s="99" t="s">
        <v>1322</v>
      </c>
      <c r="UOH262" s="99" t="s">
        <v>1183</v>
      </c>
      <c r="UOJ262" s="99" t="s">
        <v>1184</v>
      </c>
      <c r="UOK262" s="99" t="s">
        <v>1322</v>
      </c>
      <c r="UYD262" s="99" t="s">
        <v>1183</v>
      </c>
      <c r="UYF262" s="99" t="s">
        <v>1184</v>
      </c>
      <c r="UYG262" s="99" t="s">
        <v>1322</v>
      </c>
      <c r="VHZ262" s="99" t="s">
        <v>1183</v>
      </c>
      <c r="VIB262" s="99" t="s">
        <v>1184</v>
      </c>
      <c r="VIC262" s="99" t="s">
        <v>1322</v>
      </c>
      <c r="VRV262" s="99" t="s">
        <v>1183</v>
      </c>
      <c r="VRX262" s="99" t="s">
        <v>1184</v>
      </c>
      <c r="VRY262" s="99" t="s">
        <v>1322</v>
      </c>
      <c r="WBR262" s="99" t="s">
        <v>1183</v>
      </c>
      <c r="WBT262" s="99" t="s">
        <v>1184</v>
      </c>
      <c r="WBU262" s="99" t="s">
        <v>1322</v>
      </c>
      <c r="WLN262" s="99" t="s">
        <v>1183</v>
      </c>
      <c r="WLP262" s="99" t="s">
        <v>1184</v>
      </c>
      <c r="WLQ262" s="99" t="s">
        <v>1322</v>
      </c>
      <c r="WVJ262" s="99" t="s">
        <v>1183</v>
      </c>
      <c r="WVL262" s="99" t="s">
        <v>1184</v>
      </c>
      <c r="WVM262" s="99" t="s">
        <v>1322</v>
      </c>
    </row>
    <row r="263" spans="1:777 1026:1801 2050:2825 3074:3849 4098:4873 5122:5897 6146:6921 7170:7945 8194:8969 9218:9993 10242:11017 11266:12041 12290:13065 13314:14089 14338:15113 15362:16137" ht="40.200000000000003" thickBot="1">
      <c r="A263" s="2268" t="s">
        <v>1187</v>
      </c>
      <c r="B263" s="2269"/>
      <c r="C263" s="2272" t="s">
        <v>1188</v>
      </c>
      <c r="D263" s="2239" t="s">
        <v>2434</v>
      </c>
      <c r="E263" s="493" t="s">
        <v>1323</v>
      </c>
      <c r="F263" s="493" t="s">
        <v>1324</v>
      </c>
      <c r="G263" s="493" t="s">
        <v>1325</v>
      </c>
      <c r="H263" s="493" t="s">
        <v>1326</v>
      </c>
      <c r="I263" s="493" t="s">
        <v>1327</v>
      </c>
      <c r="IX263" s="99" t="s">
        <v>1187</v>
      </c>
      <c r="IZ263" s="99" t="s">
        <v>1188</v>
      </c>
      <c r="JA263" s="99" t="s">
        <v>1323</v>
      </c>
      <c r="JB263" s="99" t="s">
        <v>1324</v>
      </c>
      <c r="JC263" s="99" t="s">
        <v>1325</v>
      </c>
      <c r="JD263" s="99" t="s">
        <v>1326</v>
      </c>
      <c r="JE263" s="99" t="s">
        <v>1327</v>
      </c>
      <c r="ST263" s="99" t="s">
        <v>1187</v>
      </c>
      <c r="SV263" s="99" t="s">
        <v>1188</v>
      </c>
      <c r="SW263" s="99" t="s">
        <v>1323</v>
      </c>
      <c r="SX263" s="99" t="s">
        <v>1324</v>
      </c>
      <c r="SY263" s="99" t="s">
        <v>1325</v>
      </c>
      <c r="SZ263" s="99" t="s">
        <v>1326</v>
      </c>
      <c r="TA263" s="99" t="s">
        <v>1327</v>
      </c>
      <c r="ACP263" s="99" t="s">
        <v>1187</v>
      </c>
      <c r="ACR263" s="99" t="s">
        <v>1188</v>
      </c>
      <c r="ACS263" s="99" t="s">
        <v>1323</v>
      </c>
      <c r="ACT263" s="99" t="s">
        <v>1324</v>
      </c>
      <c r="ACU263" s="99" t="s">
        <v>1325</v>
      </c>
      <c r="ACV263" s="99" t="s">
        <v>1326</v>
      </c>
      <c r="ACW263" s="99" t="s">
        <v>1327</v>
      </c>
      <c r="AML263" s="99" t="s">
        <v>1187</v>
      </c>
      <c r="AMN263" s="99" t="s">
        <v>1188</v>
      </c>
      <c r="AMO263" s="99" t="s">
        <v>1323</v>
      </c>
      <c r="AMP263" s="99" t="s">
        <v>1324</v>
      </c>
      <c r="AMQ263" s="99" t="s">
        <v>1325</v>
      </c>
      <c r="AMR263" s="99" t="s">
        <v>1326</v>
      </c>
      <c r="AMS263" s="99" t="s">
        <v>1327</v>
      </c>
      <c r="AWH263" s="99" t="s">
        <v>1187</v>
      </c>
      <c r="AWJ263" s="99" t="s">
        <v>1188</v>
      </c>
      <c r="AWK263" s="99" t="s">
        <v>1323</v>
      </c>
      <c r="AWL263" s="99" t="s">
        <v>1324</v>
      </c>
      <c r="AWM263" s="99" t="s">
        <v>1325</v>
      </c>
      <c r="AWN263" s="99" t="s">
        <v>1326</v>
      </c>
      <c r="AWO263" s="99" t="s">
        <v>1327</v>
      </c>
      <c r="BGD263" s="99" t="s">
        <v>1187</v>
      </c>
      <c r="BGF263" s="99" t="s">
        <v>1188</v>
      </c>
      <c r="BGG263" s="99" t="s">
        <v>1323</v>
      </c>
      <c r="BGH263" s="99" t="s">
        <v>1324</v>
      </c>
      <c r="BGI263" s="99" t="s">
        <v>1325</v>
      </c>
      <c r="BGJ263" s="99" t="s">
        <v>1326</v>
      </c>
      <c r="BGK263" s="99" t="s">
        <v>1327</v>
      </c>
      <c r="BPZ263" s="99" t="s">
        <v>1187</v>
      </c>
      <c r="BQB263" s="99" t="s">
        <v>1188</v>
      </c>
      <c r="BQC263" s="99" t="s">
        <v>1323</v>
      </c>
      <c r="BQD263" s="99" t="s">
        <v>1324</v>
      </c>
      <c r="BQE263" s="99" t="s">
        <v>1325</v>
      </c>
      <c r="BQF263" s="99" t="s">
        <v>1326</v>
      </c>
      <c r="BQG263" s="99" t="s">
        <v>1327</v>
      </c>
      <c r="BZV263" s="99" t="s">
        <v>1187</v>
      </c>
      <c r="BZX263" s="99" t="s">
        <v>1188</v>
      </c>
      <c r="BZY263" s="99" t="s">
        <v>1323</v>
      </c>
      <c r="BZZ263" s="99" t="s">
        <v>1324</v>
      </c>
      <c r="CAA263" s="99" t="s">
        <v>1325</v>
      </c>
      <c r="CAB263" s="99" t="s">
        <v>1326</v>
      </c>
      <c r="CAC263" s="99" t="s">
        <v>1327</v>
      </c>
      <c r="CJR263" s="99" t="s">
        <v>1187</v>
      </c>
      <c r="CJT263" s="99" t="s">
        <v>1188</v>
      </c>
      <c r="CJU263" s="99" t="s">
        <v>1323</v>
      </c>
      <c r="CJV263" s="99" t="s">
        <v>1324</v>
      </c>
      <c r="CJW263" s="99" t="s">
        <v>1325</v>
      </c>
      <c r="CJX263" s="99" t="s">
        <v>1326</v>
      </c>
      <c r="CJY263" s="99" t="s">
        <v>1327</v>
      </c>
      <c r="CTN263" s="99" t="s">
        <v>1187</v>
      </c>
      <c r="CTP263" s="99" t="s">
        <v>1188</v>
      </c>
      <c r="CTQ263" s="99" t="s">
        <v>1323</v>
      </c>
      <c r="CTR263" s="99" t="s">
        <v>1324</v>
      </c>
      <c r="CTS263" s="99" t="s">
        <v>1325</v>
      </c>
      <c r="CTT263" s="99" t="s">
        <v>1326</v>
      </c>
      <c r="CTU263" s="99" t="s">
        <v>1327</v>
      </c>
      <c r="DDJ263" s="99" t="s">
        <v>1187</v>
      </c>
      <c r="DDL263" s="99" t="s">
        <v>1188</v>
      </c>
      <c r="DDM263" s="99" t="s">
        <v>1323</v>
      </c>
      <c r="DDN263" s="99" t="s">
        <v>1324</v>
      </c>
      <c r="DDO263" s="99" t="s">
        <v>1325</v>
      </c>
      <c r="DDP263" s="99" t="s">
        <v>1326</v>
      </c>
      <c r="DDQ263" s="99" t="s">
        <v>1327</v>
      </c>
      <c r="DNF263" s="99" t="s">
        <v>1187</v>
      </c>
      <c r="DNH263" s="99" t="s">
        <v>1188</v>
      </c>
      <c r="DNI263" s="99" t="s">
        <v>1323</v>
      </c>
      <c r="DNJ263" s="99" t="s">
        <v>1324</v>
      </c>
      <c r="DNK263" s="99" t="s">
        <v>1325</v>
      </c>
      <c r="DNL263" s="99" t="s">
        <v>1326</v>
      </c>
      <c r="DNM263" s="99" t="s">
        <v>1327</v>
      </c>
      <c r="DXB263" s="99" t="s">
        <v>1187</v>
      </c>
      <c r="DXD263" s="99" t="s">
        <v>1188</v>
      </c>
      <c r="DXE263" s="99" t="s">
        <v>1323</v>
      </c>
      <c r="DXF263" s="99" t="s">
        <v>1324</v>
      </c>
      <c r="DXG263" s="99" t="s">
        <v>1325</v>
      </c>
      <c r="DXH263" s="99" t="s">
        <v>1326</v>
      </c>
      <c r="DXI263" s="99" t="s">
        <v>1327</v>
      </c>
      <c r="EGX263" s="99" t="s">
        <v>1187</v>
      </c>
      <c r="EGZ263" s="99" t="s">
        <v>1188</v>
      </c>
      <c r="EHA263" s="99" t="s">
        <v>1323</v>
      </c>
      <c r="EHB263" s="99" t="s">
        <v>1324</v>
      </c>
      <c r="EHC263" s="99" t="s">
        <v>1325</v>
      </c>
      <c r="EHD263" s="99" t="s">
        <v>1326</v>
      </c>
      <c r="EHE263" s="99" t="s">
        <v>1327</v>
      </c>
      <c r="EQT263" s="99" t="s">
        <v>1187</v>
      </c>
      <c r="EQV263" s="99" t="s">
        <v>1188</v>
      </c>
      <c r="EQW263" s="99" t="s">
        <v>1323</v>
      </c>
      <c r="EQX263" s="99" t="s">
        <v>1324</v>
      </c>
      <c r="EQY263" s="99" t="s">
        <v>1325</v>
      </c>
      <c r="EQZ263" s="99" t="s">
        <v>1326</v>
      </c>
      <c r="ERA263" s="99" t="s">
        <v>1327</v>
      </c>
      <c r="FAP263" s="99" t="s">
        <v>1187</v>
      </c>
      <c r="FAR263" s="99" t="s">
        <v>1188</v>
      </c>
      <c r="FAS263" s="99" t="s">
        <v>1323</v>
      </c>
      <c r="FAT263" s="99" t="s">
        <v>1324</v>
      </c>
      <c r="FAU263" s="99" t="s">
        <v>1325</v>
      </c>
      <c r="FAV263" s="99" t="s">
        <v>1326</v>
      </c>
      <c r="FAW263" s="99" t="s">
        <v>1327</v>
      </c>
      <c r="FKL263" s="99" t="s">
        <v>1187</v>
      </c>
      <c r="FKN263" s="99" t="s">
        <v>1188</v>
      </c>
      <c r="FKO263" s="99" t="s">
        <v>1323</v>
      </c>
      <c r="FKP263" s="99" t="s">
        <v>1324</v>
      </c>
      <c r="FKQ263" s="99" t="s">
        <v>1325</v>
      </c>
      <c r="FKR263" s="99" t="s">
        <v>1326</v>
      </c>
      <c r="FKS263" s="99" t="s">
        <v>1327</v>
      </c>
      <c r="FUH263" s="99" t="s">
        <v>1187</v>
      </c>
      <c r="FUJ263" s="99" t="s">
        <v>1188</v>
      </c>
      <c r="FUK263" s="99" t="s">
        <v>1323</v>
      </c>
      <c r="FUL263" s="99" t="s">
        <v>1324</v>
      </c>
      <c r="FUM263" s="99" t="s">
        <v>1325</v>
      </c>
      <c r="FUN263" s="99" t="s">
        <v>1326</v>
      </c>
      <c r="FUO263" s="99" t="s">
        <v>1327</v>
      </c>
      <c r="GED263" s="99" t="s">
        <v>1187</v>
      </c>
      <c r="GEF263" s="99" t="s">
        <v>1188</v>
      </c>
      <c r="GEG263" s="99" t="s">
        <v>1323</v>
      </c>
      <c r="GEH263" s="99" t="s">
        <v>1324</v>
      </c>
      <c r="GEI263" s="99" t="s">
        <v>1325</v>
      </c>
      <c r="GEJ263" s="99" t="s">
        <v>1326</v>
      </c>
      <c r="GEK263" s="99" t="s">
        <v>1327</v>
      </c>
      <c r="GNZ263" s="99" t="s">
        <v>1187</v>
      </c>
      <c r="GOB263" s="99" t="s">
        <v>1188</v>
      </c>
      <c r="GOC263" s="99" t="s">
        <v>1323</v>
      </c>
      <c r="GOD263" s="99" t="s">
        <v>1324</v>
      </c>
      <c r="GOE263" s="99" t="s">
        <v>1325</v>
      </c>
      <c r="GOF263" s="99" t="s">
        <v>1326</v>
      </c>
      <c r="GOG263" s="99" t="s">
        <v>1327</v>
      </c>
      <c r="GXV263" s="99" t="s">
        <v>1187</v>
      </c>
      <c r="GXX263" s="99" t="s">
        <v>1188</v>
      </c>
      <c r="GXY263" s="99" t="s">
        <v>1323</v>
      </c>
      <c r="GXZ263" s="99" t="s">
        <v>1324</v>
      </c>
      <c r="GYA263" s="99" t="s">
        <v>1325</v>
      </c>
      <c r="GYB263" s="99" t="s">
        <v>1326</v>
      </c>
      <c r="GYC263" s="99" t="s">
        <v>1327</v>
      </c>
      <c r="HHR263" s="99" t="s">
        <v>1187</v>
      </c>
      <c r="HHT263" s="99" t="s">
        <v>1188</v>
      </c>
      <c r="HHU263" s="99" t="s">
        <v>1323</v>
      </c>
      <c r="HHV263" s="99" t="s">
        <v>1324</v>
      </c>
      <c r="HHW263" s="99" t="s">
        <v>1325</v>
      </c>
      <c r="HHX263" s="99" t="s">
        <v>1326</v>
      </c>
      <c r="HHY263" s="99" t="s">
        <v>1327</v>
      </c>
      <c r="HRN263" s="99" t="s">
        <v>1187</v>
      </c>
      <c r="HRP263" s="99" t="s">
        <v>1188</v>
      </c>
      <c r="HRQ263" s="99" t="s">
        <v>1323</v>
      </c>
      <c r="HRR263" s="99" t="s">
        <v>1324</v>
      </c>
      <c r="HRS263" s="99" t="s">
        <v>1325</v>
      </c>
      <c r="HRT263" s="99" t="s">
        <v>1326</v>
      </c>
      <c r="HRU263" s="99" t="s">
        <v>1327</v>
      </c>
      <c r="IBJ263" s="99" t="s">
        <v>1187</v>
      </c>
      <c r="IBL263" s="99" t="s">
        <v>1188</v>
      </c>
      <c r="IBM263" s="99" t="s">
        <v>1323</v>
      </c>
      <c r="IBN263" s="99" t="s">
        <v>1324</v>
      </c>
      <c r="IBO263" s="99" t="s">
        <v>1325</v>
      </c>
      <c r="IBP263" s="99" t="s">
        <v>1326</v>
      </c>
      <c r="IBQ263" s="99" t="s">
        <v>1327</v>
      </c>
      <c r="ILF263" s="99" t="s">
        <v>1187</v>
      </c>
      <c r="ILH263" s="99" t="s">
        <v>1188</v>
      </c>
      <c r="ILI263" s="99" t="s">
        <v>1323</v>
      </c>
      <c r="ILJ263" s="99" t="s">
        <v>1324</v>
      </c>
      <c r="ILK263" s="99" t="s">
        <v>1325</v>
      </c>
      <c r="ILL263" s="99" t="s">
        <v>1326</v>
      </c>
      <c r="ILM263" s="99" t="s">
        <v>1327</v>
      </c>
      <c r="IVB263" s="99" t="s">
        <v>1187</v>
      </c>
      <c r="IVD263" s="99" t="s">
        <v>1188</v>
      </c>
      <c r="IVE263" s="99" t="s">
        <v>1323</v>
      </c>
      <c r="IVF263" s="99" t="s">
        <v>1324</v>
      </c>
      <c r="IVG263" s="99" t="s">
        <v>1325</v>
      </c>
      <c r="IVH263" s="99" t="s">
        <v>1326</v>
      </c>
      <c r="IVI263" s="99" t="s">
        <v>1327</v>
      </c>
      <c r="JEX263" s="99" t="s">
        <v>1187</v>
      </c>
      <c r="JEZ263" s="99" t="s">
        <v>1188</v>
      </c>
      <c r="JFA263" s="99" t="s">
        <v>1323</v>
      </c>
      <c r="JFB263" s="99" t="s">
        <v>1324</v>
      </c>
      <c r="JFC263" s="99" t="s">
        <v>1325</v>
      </c>
      <c r="JFD263" s="99" t="s">
        <v>1326</v>
      </c>
      <c r="JFE263" s="99" t="s">
        <v>1327</v>
      </c>
      <c r="JOT263" s="99" t="s">
        <v>1187</v>
      </c>
      <c r="JOV263" s="99" t="s">
        <v>1188</v>
      </c>
      <c r="JOW263" s="99" t="s">
        <v>1323</v>
      </c>
      <c r="JOX263" s="99" t="s">
        <v>1324</v>
      </c>
      <c r="JOY263" s="99" t="s">
        <v>1325</v>
      </c>
      <c r="JOZ263" s="99" t="s">
        <v>1326</v>
      </c>
      <c r="JPA263" s="99" t="s">
        <v>1327</v>
      </c>
      <c r="JYP263" s="99" t="s">
        <v>1187</v>
      </c>
      <c r="JYR263" s="99" t="s">
        <v>1188</v>
      </c>
      <c r="JYS263" s="99" t="s">
        <v>1323</v>
      </c>
      <c r="JYT263" s="99" t="s">
        <v>1324</v>
      </c>
      <c r="JYU263" s="99" t="s">
        <v>1325</v>
      </c>
      <c r="JYV263" s="99" t="s">
        <v>1326</v>
      </c>
      <c r="JYW263" s="99" t="s">
        <v>1327</v>
      </c>
      <c r="KIL263" s="99" t="s">
        <v>1187</v>
      </c>
      <c r="KIN263" s="99" t="s">
        <v>1188</v>
      </c>
      <c r="KIO263" s="99" t="s">
        <v>1323</v>
      </c>
      <c r="KIP263" s="99" t="s">
        <v>1324</v>
      </c>
      <c r="KIQ263" s="99" t="s">
        <v>1325</v>
      </c>
      <c r="KIR263" s="99" t="s">
        <v>1326</v>
      </c>
      <c r="KIS263" s="99" t="s">
        <v>1327</v>
      </c>
      <c r="KSH263" s="99" t="s">
        <v>1187</v>
      </c>
      <c r="KSJ263" s="99" t="s">
        <v>1188</v>
      </c>
      <c r="KSK263" s="99" t="s">
        <v>1323</v>
      </c>
      <c r="KSL263" s="99" t="s">
        <v>1324</v>
      </c>
      <c r="KSM263" s="99" t="s">
        <v>1325</v>
      </c>
      <c r="KSN263" s="99" t="s">
        <v>1326</v>
      </c>
      <c r="KSO263" s="99" t="s">
        <v>1327</v>
      </c>
      <c r="LCD263" s="99" t="s">
        <v>1187</v>
      </c>
      <c r="LCF263" s="99" t="s">
        <v>1188</v>
      </c>
      <c r="LCG263" s="99" t="s">
        <v>1323</v>
      </c>
      <c r="LCH263" s="99" t="s">
        <v>1324</v>
      </c>
      <c r="LCI263" s="99" t="s">
        <v>1325</v>
      </c>
      <c r="LCJ263" s="99" t="s">
        <v>1326</v>
      </c>
      <c r="LCK263" s="99" t="s">
        <v>1327</v>
      </c>
      <c r="LLZ263" s="99" t="s">
        <v>1187</v>
      </c>
      <c r="LMB263" s="99" t="s">
        <v>1188</v>
      </c>
      <c r="LMC263" s="99" t="s">
        <v>1323</v>
      </c>
      <c r="LMD263" s="99" t="s">
        <v>1324</v>
      </c>
      <c r="LME263" s="99" t="s">
        <v>1325</v>
      </c>
      <c r="LMF263" s="99" t="s">
        <v>1326</v>
      </c>
      <c r="LMG263" s="99" t="s">
        <v>1327</v>
      </c>
      <c r="LVV263" s="99" t="s">
        <v>1187</v>
      </c>
      <c r="LVX263" s="99" t="s">
        <v>1188</v>
      </c>
      <c r="LVY263" s="99" t="s">
        <v>1323</v>
      </c>
      <c r="LVZ263" s="99" t="s">
        <v>1324</v>
      </c>
      <c r="LWA263" s="99" t="s">
        <v>1325</v>
      </c>
      <c r="LWB263" s="99" t="s">
        <v>1326</v>
      </c>
      <c r="LWC263" s="99" t="s">
        <v>1327</v>
      </c>
      <c r="MFR263" s="99" t="s">
        <v>1187</v>
      </c>
      <c r="MFT263" s="99" t="s">
        <v>1188</v>
      </c>
      <c r="MFU263" s="99" t="s">
        <v>1323</v>
      </c>
      <c r="MFV263" s="99" t="s">
        <v>1324</v>
      </c>
      <c r="MFW263" s="99" t="s">
        <v>1325</v>
      </c>
      <c r="MFX263" s="99" t="s">
        <v>1326</v>
      </c>
      <c r="MFY263" s="99" t="s">
        <v>1327</v>
      </c>
      <c r="MPN263" s="99" t="s">
        <v>1187</v>
      </c>
      <c r="MPP263" s="99" t="s">
        <v>1188</v>
      </c>
      <c r="MPQ263" s="99" t="s">
        <v>1323</v>
      </c>
      <c r="MPR263" s="99" t="s">
        <v>1324</v>
      </c>
      <c r="MPS263" s="99" t="s">
        <v>1325</v>
      </c>
      <c r="MPT263" s="99" t="s">
        <v>1326</v>
      </c>
      <c r="MPU263" s="99" t="s">
        <v>1327</v>
      </c>
      <c r="MZJ263" s="99" t="s">
        <v>1187</v>
      </c>
      <c r="MZL263" s="99" t="s">
        <v>1188</v>
      </c>
      <c r="MZM263" s="99" t="s">
        <v>1323</v>
      </c>
      <c r="MZN263" s="99" t="s">
        <v>1324</v>
      </c>
      <c r="MZO263" s="99" t="s">
        <v>1325</v>
      </c>
      <c r="MZP263" s="99" t="s">
        <v>1326</v>
      </c>
      <c r="MZQ263" s="99" t="s">
        <v>1327</v>
      </c>
      <c r="NJF263" s="99" t="s">
        <v>1187</v>
      </c>
      <c r="NJH263" s="99" t="s">
        <v>1188</v>
      </c>
      <c r="NJI263" s="99" t="s">
        <v>1323</v>
      </c>
      <c r="NJJ263" s="99" t="s">
        <v>1324</v>
      </c>
      <c r="NJK263" s="99" t="s">
        <v>1325</v>
      </c>
      <c r="NJL263" s="99" t="s">
        <v>1326</v>
      </c>
      <c r="NJM263" s="99" t="s">
        <v>1327</v>
      </c>
      <c r="NTB263" s="99" t="s">
        <v>1187</v>
      </c>
      <c r="NTD263" s="99" t="s">
        <v>1188</v>
      </c>
      <c r="NTE263" s="99" t="s">
        <v>1323</v>
      </c>
      <c r="NTF263" s="99" t="s">
        <v>1324</v>
      </c>
      <c r="NTG263" s="99" t="s">
        <v>1325</v>
      </c>
      <c r="NTH263" s="99" t="s">
        <v>1326</v>
      </c>
      <c r="NTI263" s="99" t="s">
        <v>1327</v>
      </c>
      <c r="OCX263" s="99" t="s">
        <v>1187</v>
      </c>
      <c r="OCZ263" s="99" t="s">
        <v>1188</v>
      </c>
      <c r="ODA263" s="99" t="s">
        <v>1323</v>
      </c>
      <c r="ODB263" s="99" t="s">
        <v>1324</v>
      </c>
      <c r="ODC263" s="99" t="s">
        <v>1325</v>
      </c>
      <c r="ODD263" s="99" t="s">
        <v>1326</v>
      </c>
      <c r="ODE263" s="99" t="s">
        <v>1327</v>
      </c>
      <c r="OMT263" s="99" t="s">
        <v>1187</v>
      </c>
      <c r="OMV263" s="99" t="s">
        <v>1188</v>
      </c>
      <c r="OMW263" s="99" t="s">
        <v>1323</v>
      </c>
      <c r="OMX263" s="99" t="s">
        <v>1324</v>
      </c>
      <c r="OMY263" s="99" t="s">
        <v>1325</v>
      </c>
      <c r="OMZ263" s="99" t="s">
        <v>1326</v>
      </c>
      <c r="ONA263" s="99" t="s">
        <v>1327</v>
      </c>
      <c r="OWP263" s="99" t="s">
        <v>1187</v>
      </c>
      <c r="OWR263" s="99" t="s">
        <v>1188</v>
      </c>
      <c r="OWS263" s="99" t="s">
        <v>1323</v>
      </c>
      <c r="OWT263" s="99" t="s">
        <v>1324</v>
      </c>
      <c r="OWU263" s="99" t="s">
        <v>1325</v>
      </c>
      <c r="OWV263" s="99" t="s">
        <v>1326</v>
      </c>
      <c r="OWW263" s="99" t="s">
        <v>1327</v>
      </c>
      <c r="PGL263" s="99" t="s">
        <v>1187</v>
      </c>
      <c r="PGN263" s="99" t="s">
        <v>1188</v>
      </c>
      <c r="PGO263" s="99" t="s">
        <v>1323</v>
      </c>
      <c r="PGP263" s="99" t="s">
        <v>1324</v>
      </c>
      <c r="PGQ263" s="99" t="s">
        <v>1325</v>
      </c>
      <c r="PGR263" s="99" t="s">
        <v>1326</v>
      </c>
      <c r="PGS263" s="99" t="s">
        <v>1327</v>
      </c>
      <c r="PQH263" s="99" t="s">
        <v>1187</v>
      </c>
      <c r="PQJ263" s="99" t="s">
        <v>1188</v>
      </c>
      <c r="PQK263" s="99" t="s">
        <v>1323</v>
      </c>
      <c r="PQL263" s="99" t="s">
        <v>1324</v>
      </c>
      <c r="PQM263" s="99" t="s">
        <v>1325</v>
      </c>
      <c r="PQN263" s="99" t="s">
        <v>1326</v>
      </c>
      <c r="PQO263" s="99" t="s">
        <v>1327</v>
      </c>
      <c r="QAD263" s="99" t="s">
        <v>1187</v>
      </c>
      <c r="QAF263" s="99" t="s">
        <v>1188</v>
      </c>
      <c r="QAG263" s="99" t="s">
        <v>1323</v>
      </c>
      <c r="QAH263" s="99" t="s">
        <v>1324</v>
      </c>
      <c r="QAI263" s="99" t="s">
        <v>1325</v>
      </c>
      <c r="QAJ263" s="99" t="s">
        <v>1326</v>
      </c>
      <c r="QAK263" s="99" t="s">
        <v>1327</v>
      </c>
      <c r="QJZ263" s="99" t="s">
        <v>1187</v>
      </c>
      <c r="QKB263" s="99" t="s">
        <v>1188</v>
      </c>
      <c r="QKC263" s="99" t="s">
        <v>1323</v>
      </c>
      <c r="QKD263" s="99" t="s">
        <v>1324</v>
      </c>
      <c r="QKE263" s="99" t="s">
        <v>1325</v>
      </c>
      <c r="QKF263" s="99" t="s">
        <v>1326</v>
      </c>
      <c r="QKG263" s="99" t="s">
        <v>1327</v>
      </c>
      <c r="QTV263" s="99" t="s">
        <v>1187</v>
      </c>
      <c r="QTX263" s="99" t="s">
        <v>1188</v>
      </c>
      <c r="QTY263" s="99" t="s">
        <v>1323</v>
      </c>
      <c r="QTZ263" s="99" t="s">
        <v>1324</v>
      </c>
      <c r="QUA263" s="99" t="s">
        <v>1325</v>
      </c>
      <c r="QUB263" s="99" t="s">
        <v>1326</v>
      </c>
      <c r="QUC263" s="99" t="s">
        <v>1327</v>
      </c>
      <c r="RDR263" s="99" t="s">
        <v>1187</v>
      </c>
      <c r="RDT263" s="99" t="s">
        <v>1188</v>
      </c>
      <c r="RDU263" s="99" t="s">
        <v>1323</v>
      </c>
      <c r="RDV263" s="99" t="s">
        <v>1324</v>
      </c>
      <c r="RDW263" s="99" t="s">
        <v>1325</v>
      </c>
      <c r="RDX263" s="99" t="s">
        <v>1326</v>
      </c>
      <c r="RDY263" s="99" t="s">
        <v>1327</v>
      </c>
      <c r="RNN263" s="99" t="s">
        <v>1187</v>
      </c>
      <c r="RNP263" s="99" t="s">
        <v>1188</v>
      </c>
      <c r="RNQ263" s="99" t="s">
        <v>1323</v>
      </c>
      <c r="RNR263" s="99" t="s">
        <v>1324</v>
      </c>
      <c r="RNS263" s="99" t="s">
        <v>1325</v>
      </c>
      <c r="RNT263" s="99" t="s">
        <v>1326</v>
      </c>
      <c r="RNU263" s="99" t="s">
        <v>1327</v>
      </c>
      <c r="RXJ263" s="99" t="s">
        <v>1187</v>
      </c>
      <c r="RXL263" s="99" t="s">
        <v>1188</v>
      </c>
      <c r="RXM263" s="99" t="s">
        <v>1323</v>
      </c>
      <c r="RXN263" s="99" t="s">
        <v>1324</v>
      </c>
      <c r="RXO263" s="99" t="s">
        <v>1325</v>
      </c>
      <c r="RXP263" s="99" t="s">
        <v>1326</v>
      </c>
      <c r="RXQ263" s="99" t="s">
        <v>1327</v>
      </c>
      <c r="SHF263" s="99" t="s">
        <v>1187</v>
      </c>
      <c r="SHH263" s="99" t="s">
        <v>1188</v>
      </c>
      <c r="SHI263" s="99" t="s">
        <v>1323</v>
      </c>
      <c r="SHJ263" s="99" t="s">
        <v>1324</v>
      </c>
      <c r="SHK263" s="99" t="s">
        <v>1325</v>
      </c>
      <c r="SHL263" s="99" t="s">
        <v>1326</v>
      </c>
      <c r="SHM263" s="99" t="s">
        <v>1327</v>
      </c>
      <c r="SRB263" s="99" t="s">
        <v>1187</v>
      </c>
      <c r="SRD263" s="99" t="s">
        <v>1188</v>
      </c>
      <c r="SRE263" s="99" t="s">
        <v>1323</v>
      </c>
      <c r="SRF263" s="99" t="s">
        <v>1324</v>
      </c>
      <c r="SRG263" s="99" t="s">
        <v>1325</v>
      </c>
      <c r="SRH263" s="99" t="s">
        <v>1326</v>
      </c>
      <c r="SRI263" s="99" t="s">
        <v>1327</v>
      </c>
      <c r="TAX263" s="99" t="s">
        <v>1187</v>
      </c>
      <c r="TAZ263" s="99" t="s">
        <v>1188</v>
      </c>
      <c r="TBA263" s="99" t="s">
        <v>1323</v>
      </c>
      <c r="TBB263" s="99" t="s">
        <v>1324</v>
      </c>
      <c r="TBC263" s="99" t="s">
        <v>1325</v>
      </c>
      <c r="TBD263" s="99" t="s">
        <v>1326</v>
      </c>
      <c r="TBE263" s="99" t="s">
        <v>1327</v>
      </c>
      <c r="TKT263" s="99" t="s">
        <v>1187</v>
      </c>
      <c r="TKV263" s="99" t="s">
        <v>1188</v>
      </c>
      <c r="TKW263" s="99" t="s">
        <v>1323</v>
      </c>
      <c r="TKX263" s="99" t="s">
        <v>1324</v>
      </c>
      <c r="TKY263" s="99" t="s">
        <v>1325</v>
      </c>
      <c r="TKZ263" s="99" t="s">
        <v>1326</v>
      </c>
      <c r="TLA263" s="99" t="s">
        <v>1327</v>
      </c>
      <c r="TUP263" s="99" t="s">
        <v>1187</v>
      </c>
      <c r="TUR263" s="99" t="s">
        <v>1188</v>
      </c>
      <c r="TUS263" s="99" t="s">
        <v>1323</v>
      </c>
      <c r="TUT263" s="99" t="s">
        <v>1324</v>
      </c>
      <c r="TUU263" s="99" t="s">
        <v>1325</v>
      </c>
      <c r="TUV263" s="99" t="s">
        <v>1326</v>
      </c>
      <c r="TUW263" s="99" t="s">
        <v>1327</v>
      </c>
      <c r="UEL263" s="99" t="s">
        <v>1187</v>
      </c>
      <c r="UEN263" s="99" t="s">
        <v>1188</v>
      </c>
      <c r="UEO263" s="99" t="s">
        <v>1323</v>
      </c>
      <c r="UEP263" s="99" t="s">
        <v>1324</v>
      </c>
      <c r="UEQ263" s="99" t="s">
        <v>1325</v>
      </c>
      <c r="UER263" s="99" t="s">
        <v>1326</v>
      </c>
      <c r="UES263" s="99" t="s">
        <v>1327</v>
      </c>
      <c r="UOH263" s="99" t="s">
        <v>1187</v>
      </c>
      <c r="UOJ263" s="99" t="s">
        <v>1188</v>
      </c>
      <c r="UOK263" s="99" t="s">
        <v>1323</v>
      </c>
      <c r="UOL263" s="99" t="s">
        <v>1324</v>
      </c>
      <c r="UOM263" s="99" t="s">
        <v>1325</v>
      </c>
      <c r="UON263" s="99" t="s">
        <v>1326</v>
      </c>
      <c r="UOO263" s="99" t="s">
        <v>1327</v>
      </c>
      <c r="UYD263" s="99" t="s">
        <v>1187</v>
      </c>
      <c r="UYF263" s="99" t="s">
        <v>1188</v>
      </c>
      <c r="UYG263" s="99" t="s">
        <v>1323</v>
      </c>
      <c r="UYH263" s="99" t="s">
        <v>1324</v>
      </c>
      <c r="UYI263" s="99" t="s">
        <v>1325</v>
      </c>
      <c r="UYJ263" s="99" t="s">
        <v>1326</v>
      </c>
      <c r="UYK263" s="99" t="s">
        <v>1327</v>
      </c>
      <c r="VHZ263" s="99" t="s">
        <v>1187</v>
      </c>
      <c r="VIB263" s="99" t="s">
        <v>1188</v>
      </c>
      <c r="VIC263" s="99" t="s">
        <v>1323</v>
      </c>
      <c r="VID263" s="99" t="s">
        <v>1324</v>
      </c>
      <c r="VIE263" s="99" t="s">
        <v>1325</v>
      </c>
      <c r="VIF263" s="99" t="s">
        <v>1326</v>
      </c>
      <c r="VIG263" s="99" t="s">
        <v>1327</v>
      </c>
      <c r="VRV263" s="99" t="s">
        <v>1187</v>
      </c>
      <c r="VRX263" s="99" t="s">
        <v>1188</v>
      </c>
      <c r="VRY263" s="99" t="s">
        <v>1323</v>
      </c>
      <c r="VRZ263" s="99" t="s">
        <v>1324</v>
      </c>
      <c r="VSA263" s="99" t="s">
        <v>1325</v>
      </c>
      <c r="VSB263" s="99" t="s">
        <v>1326</v>
      </c>
      <c r="VSC263" s="99" t="s">
        <v>1327</v>
      </c>
      <c r="WBR263" s="99" t="s">
        <v>1187</v>
      </c>
      <c r="WBT263" s="99" t="s">
        <v>1188</v>
      </c>
      <c r="WBU263" s="99" t="s">
        <v>1323</v>
      </c>
      <c r="WBV263" s="99" t="s">
        <v>1324</v>
      </c>
      <c r="WBW263" s="99" t="s">
        <v>1325</v>
      </c>
      <c r="WBX263" s="99" t="s">
        <v>1326</v>
      </c>
      <c r="WBY263" s="99" t="s">
        <v>1327</v>
      </c>
      <c r="WLN263" s="99" t="s">
        <v>1187</v>
      </c>
      <c r="WLP263" s="99" t="s">
        <v>1188</v>
      </c>
      <c r="WLQ263" s="99" t="s">
        <v>1323</v>
      </c>
      <c r="WLR263" s="99" t="s">
        <v>1324</v>
      </c>
      <c r="WLS263" s="99" t="s">
        <v>1325</v>
      </c>
      <c r="WLT263" s="99" t="s">
        <v>1326</v>
      </c>
      <c r="WLU263" s="99" t="s">
        <v>1327</v>
      </c>
      <c r="WVJ263" s="99" t="s">
        <v>1187</v>
      </c>
      <c r="WVL263" s="99" t="s">
        <v>1188</v>
      </c>
      <c r="WVM263" s="99" t="s">
        <v>1323</v>
      </c>
      <c r="WVN263" s="99" t="s">
        <v>1324</v>
      </c>
      <c r="WVO263" s="99" t="s">
        <v>1325</v>
      </c>
      <c r="WVP263" s="99" t="s">
        <v>1326</v>
      </c>
      <c r="WVQ263" s="99" t="s">
        <v>1327</v>
      </c>
    </row>
    <row r="264" spans="1:777 1026:1801 2050:2825 3074:3849 4098:4873 5122:5897 6146:6921 7170:7945 8194:8969 9218:9993 10242:11017 11266:12041 12290:13065 13314:14089 14338:15113 15362:16137" ht="15" thickBot="1">
      <c r="A264" s="2253" t="s">
        <v>1312</v>
      </c>
      <c r="B264" s="2253" t="s">
        <v>1196</v>
      </c>
      <c r="C264" s="2251"/>
      <c r="D264" s="2240"/>
      <c r="E264" s="865" t="s">
        <v>1197</v>
      </c>
      <c r="F264" s="865" t="s">
        <v>1328</v>
      </c>
      <c r="G264" s="865" t="s">
        <v>1328</v>
      </c>
      <c r="H264" s="865" t="s">
        <v>1329</v>
      </c>
      <c r="I264" s="865" t="s">
        <v>1201</v>
      </c>
      <c r="IX264" s="99" t="s">
        <v>1312</v>
      </c>
      <c r="IY264" s="99" t="s">
        <v>1196</v>
      </c>
      <c r="JA264" s="99" t="s">
        <v>1197</v>
      </c>
      <c r="JB264" s="99" t="s">
        <v>1328</v>
      </c>
      <c r="JC264" s="99" t="s">
        <v>1328</v>
      </c>
      <c r="JD264" s="99" t="s">
        <v>1329</v>
      </c>
      <c r="JE264" s="99" t="s">
        <v>1201</v>
      </c>
      <c r="ST264" s="99" t="s">
        <v>1312</v>
      </c>
      <c r="SU264" s="99" t="s">
        <v>1196</v>
      </c>
      <c r="SW264" s="99" t="s">
        <v>1197</v>
      </c>
      <c r="SX264" s="99" t="s">
        <v>1328</v>
      </c>
      <c r="SY264" s="99" t="s">
        <v>1328</v>
      </c>
      <c r="SZ264" s="99" t="s">
        <v>1329</v>
      </c>
      <c r="TA264" s="99" t="s">
        <v>1201</v>
      </c>
      <c r="ACP264" s="99" t="s">
        <v>1312</v>
      </c>
      <c r="ACQ264" s="99" t="s">
        <v>1196</v>
      </c>
      <c r="ACS264" s="99" t="s">
        <v>1197</v>
      </c>
      <c r="ACT264" s="99" t="s">
        <v>1328</v>
      </c>
      <c r="ACU264" s="99" t="s">
        <v>1328</v>
      </c>
      <c r="ACV264" s="99" t="s">
        <v>1329</v>
      </c>
      <c r="ACW264" s="99" t="s">
        <v>1201</v>
      </c>
      <c r="AML264" s="99" t="s">
        <v>1312</v>
      </c>
      <c r="AMM264" s="99" t="s">
        <v>1196</v>
      </c>
      <c r="AMO264" s="99" t="s">
        <v>1197</v>
      </c>
      <c r="AMP264" s="99" t="s">
        <v>1328</v>
      </c>
      <c r="AMQ264" s="99" t="s">
        <v>1328</v>
      </c>
      <c r="AMR264" s="99" t="s">
        <v>1329</v>
      </c>
      <c r="AMS264" s="99" t="s">
        <v>1201</v>
      </c>
      <c r="AWH264" s="99" t="s">
        <v>1312</v>
      </c>
      <c r="AWI264" s="99" t="s">
        <v>1196</v>
      </c>
      <c r="AWK264" s="99" t="s">
        <v>1197</v>
      </c>
      <c r="AWL264" s="99" t="s">
        <v>1328</v>
      </c>
      <c r="AWM264" s="99" t="s">
        <v>1328</v>
      </c>
      <c r="AWN264" s="99" t="s">
        <v>1329</v>
      </c>
      <c r="AWO264" s="99" t="s">
        <v>1201</v>
      </c>
      <c r="BGD264" s="99" t="s">
        <v>1312</v>
      </c>
      <c r="BGE264" s="99" t="s">
        <v>1196</v>
      </c>
      <c r="BGG264" s="99" t="s">
        <v>1197</v>
      </c>
      <c r="BGH264" s="99" t="s">
        <v>1328</v>
      </c>
      <c r="BGI264" s="99" t="s">
        <v>1328</v>
      </c>
      <c r="BGJ264" s="99" t="s">
        <v>1329</v>
      </c>
      <c r="BGK264" s="99" t="s">
        <v>1201</v>
      </c>
      <c r="BPZ264" s="99" t="s">
        <v>1312</v>
      </c>
      <c r="BQA264" s="99" t="s">
        <v>1196</v>
      </c>
      <c r="BQC264" s="99" t="s">
        <v>1197</v>
      </c>
      <c r="BQD264" s="99" t="s">
        <v>1328</v>
      </c>
      <c r="BQE264" s="99" t="s">
        <v>1328</v>
      </c>
      <c r="BQF264" s="99" t="s">
        <v>1329</v>
      </c>
      <c r="BQG264" s="99" t="s">
        <v>1201</v>
      </c>
      <c r="BZV264" s="99" t="s">
        <v>1312</v>
      </c>
      <c r="BZW264" s="99" t="s">
        <v>1196</v>
      </c>
      <c r="BZY264" s="99" t="s">
        <v>1197</v>
      </c>
      <c r="BZZ264" s="99" t="s">
        <v>1328</v>
      </c>
      <c r="CAA264" s="99" t="s">
        <v>1328</v>
      </c>
      <c r="CAB264" s="99" t="s">
        <v>1329</v>
      </c>
      <c r="CAC264" s="99" t="s">
        <v>1201</v>
      </c>
      <c r="CJR264" s="99" t="s">
        <v>1312</v>
      </c>
      <c r="CJS264" s="99" t="s">
        <v>1196</v>
      </c>
      <c r="CJU264" s="99" t="s">
        <v>1197</v>
      </c>
      <c r="CJV264" s="99" t="s">
        <v>1328</v>
      </c>
      <c r="CJW264" s="99" t="s">
        <v>1328</v>
      </c>
      <c r="CJX264" s="99" t="s">
        <v>1329</v>
      </c>
      <c r="CJY264" s="99" t="s">
        <v>1201</v>
      </c>
      <c r="CTN264" s="99" t="s">
        <v>1312</v>
      </c>
      <c r="CTO264" s="99" t="s">
        <v>1196</v>
      </c>
      <c r="CTQ264" s="99" t="s">
        <v>1197</v>
      </c>
      <c r="CTR264" s="99" t="s">
        <v>1328</v>
      </c>
      <c r="CTS264" s="99" t="s">
        <v>1328</v>
      </c>
      <c r="CTT264" s="99" t="s">
        <v>1329</v>
      </c>
      <c r="CTU264" s="99" t="s">
        <v>1201</v>
      </c>
      <c r="DDJ264" s="99" t="s">
        <v>1312</v>
      </c>
      <c r="DDK264" s="99" t="s">
        <v>1196</v>
      </c>
      <c r="DDM264" s="99" t="s">
        <v>1197</v>
      </c>
      <c r="DDN264" s="99" t="s">
        <v>1328</v>
      </c>
      <c r="DDO264" s="99" t="s">
        <v>1328</v>
      </c>
      <c r="DDP264" s="99" t="s">
        <v>1329</v>
      </c>
      <c r="DDQ264" s="99" t="s">
        <v>1201</v>
      </c>
      <c r="DNF264" s="99" t="s">
        <v>1312</v>
      </c>
      <c r="DNG264" s="99" t="s">
        <v>1196</v>
      </c>
      <c r="DNI264" s="99" t="s">
        <v>1197</v>
      </c>
      <c r="DNJ264" s="99" t="s">
        <v>1328</v>
      </c>
      <c r="DNK264" s="99" t="s">
        <v>1328</v>
      </c>
      <c r="DNL264" s="99" t="s">
        <v>1329</v>
      </c>
      <c r="DNM264" s="99" t="s">
        <v>1201</v>
      </c>
      <c r="DXB264" s="99" t="s">
        <v>1312</v>
      </c>
      <c r="DXC264" s="99" t="s">
        <v>1196</v>
      </c>
      <c r="DXE264" s="99" t="s">
        <v>1197</v>
      </c>
      <c r="DXF264" s="99" t="s">
        <v>1328</v>
      </c>
      <c r="DXG264" s="99" t="s">
        <v>1328</v>
      </c>
      <c r="DXH264" s="99" t="s">
        <v>1329</v>
      </c>
      <c r="DXI264" s="99" t="s">
        <v>1201</v>
      </c>
      <c r="EGX264" s="99" t="s">
        <v>1312</v>
      </c>
      <c r="EGY264" s="99" t="s">
        <v>1196</v>
      </c>
      <c r="EHA264" s="99" t="s">
        <v>1197</v>
      </c>
      <c r="EHB264" s="99" t="s">
        <v>1328</v>
      </c>
      <c r="EHC264" s="99" t="s">
        <v>1328</v>
      </c>
      <c r="EHD264" s="99" t="s">
        <v>1329</v>
      </c>
      <c r="EHE264" s="99" t="s">
        <v>1201</v>
      </c>
      <c r="EQT264" s="99" t="s">
        <v>1312</v>
      </c>
      <c r="EQU264" s="99" t="s">
        <v>1196</v>
      </c>
      <c r="EQW264" s="99" t="s">
        <v>1197</v>
      </c>
      <c r="EQX264" s="99" t="s">
        <v>1328</v>
      </c>
      <c r="EQY264" s="99" t="s">
        <v>1328</v>
      </c>
      <c r="EQZ264" s="99" t="s">
        <v>1329</v>
      </c>
      <c r="ERA264" s="99" t="s">
        <v>1201</v>
      </c>
      <c r="FAP264" s="99" t="s">
        <v>1312</v>
      </c>
      <c r="FAQ264" s="99" t="s">
        <v>1196</v>
      </c>
      <c r="FAS264" s="99" t="s">
        <v>1197</v>
      </c>
      <c r="FAT264" s="99" t="s">
        <v>1328</v>
      </c>
      <c r="FAU264" s="99" t="s">
        <v>1328</v>
      </c>
      <c r="FAV264" s="99" t="s">
        <v>1329</v>
      </c>
      <c r="FAW264" s="99" t="s">
        <v>1201</v>
      </c>
      <c r="FKL264" s="99" t="s">
        <v>1312</v>
      </c>
      <c r="FKM264" s="99" t="s">
        <v>1196</v>
      </c>
      <c r="FKO264" s="99" t="s">
        <v>1197</v>
      </c>
      <c r="FKP264" s="99" t="s">
        <v>1328</v>
      </c>
      <c r="FKQ264" s="99" t="s">
        <v>1328</v>
      </c>
      <c r="FKR264" s="99" t="s">
        <v>1329</v>
      </c>
      <c r="FKS264" s="99" t="s">
        <v>1201</v>
      </c>
      <c r="FUH264" s="99" t="s">
        <v>1312</v>
      </c>
      <c r="FUI264" s="99" t="s">
        <v>1196</v>
      </c>
      <c r="FUK264" s="99" t="s">
        <v>1197</v>
      </c>
      <c r="FUL264" s="99" t="s">
        <v>1328</v>
      </c>
      <c r="FUM264" s="99" t="s">
        <v>1328</v>
      </c>
      <c r="FUN264" s="99" t="s">
        <v>1329</v>
      </c>
      <c r="FUO264" s="99" t="s">
        <v>1201</v>
      </c>
      <c r="GED264" s="99" t="s">
        <v>1312</v>
      </c>
      <c r="GEE264" s="99" t="s">
        <v>1196</v>
      </c>
      <c r="GEG264" s="99" t="s">
        <v>1197</v>
      </c>
      <c r="GEH264" s="99" t="s">
        <v>1328</v>
      </c>
      <c r="GEI264" s="99" t="s">
        <v>1328</v>
      </c>
      <c r="GEJ264" s="99" t="s">
        <v>1329</v>
      </c>
      <c r="GEK264" s="99" t="s">
        <v>1201</v>
      </c>
      <c r="GNZ264" s="99" t="s">
        <v>1312</v>
      </c>
      <c r="GOA264" s="99" t="s">
        <v>1196</v>
      </c>
      <c r="GOC264" s="99" t="s">
        <v>1197</v>
      </c>
      <c r="GOD264" s="99" t="s">
        <v>1328</v>
      </c>
      <c r="GOE264" s="99" t="s">
        <v>1328</v>
      </c>
      <c r="GOF264" s="99" t="s">
        <v>1329</v>
      </c>
      <c r="GOG264" s="99" t="s">
        <v>1201</v>
      </c>
      <c r="GXV264" s="99" t="s">
        <v>1312</v>
      </c>
      <c r="GXW264" s="99" t="s">
        <v>1196</v>
      </c>
      <c r="GXY264" s="99" t="s">
        <v>1197</v>
      </c>
      <c r="GXZ264" s="99" t="s">
        <v>1328</v>
      </c>
      <c r="GYA264" s="99" t="s">
        <v>1328</v>
      </c>
      <c r="GYB264" s="99" t="s">
        <v>1329</v>
      </c>
      <c r="GYC264" s="99" t="s">
        <v>1201</v>
      </c>
      <c r="HHR264" s="99" t="s">
        <v>1312</v>
      </c>
      <c r="HHS264" s="99" t="s">
        <v>1196</v>
      </c>
      <c r="HHU264" s="99" t="s">
        <v>1197</v>
      </c>
      <c r="HHV264" s="99" t="s">
        <v>1328</v>
      </c>
      <c r="HHW264" s="99" t="s">
        <v>1328</v>
      </c>
      <c r="HHX264" s="99" t="s">
        <v>1329</v>
      </c>
      <c r="HHY264" s="99" t="s">
        <v>1201</v>
      </c>
      <c r="HRN264" s="99" t="s">
        <v>1312</v>
      </c>
      <c r="HRO264" s="99" t="s">
        <v>1196</v>
      </c>
      <c r="HRQ264" s="99" t="s">
        <v>1197</v>
      </c>
      <c r="HRR264" s="99" t="s">
        <v>1328</v>
      </c>
      <c r="HRS264" s="99" t="s">
        <v>1328</v>
      </c>
      <c r="HRT264" s="99" t="s">
        <v>1329</v>
      </c>
      <c r="HRU264" s="99" t="s">
        <v>1201</v>
      </c>
      <c r="IBJ264" s="99" t="s">
        <v>1312</v>
      </c>
      <c r="IBK264" s="99" t="s">
        <v>1196</v>
      </c>
      <c r="IBM264" s="99" t="s">
        <v>1197</v>
      </c>
      <c r="IBN264" s="99" t="s">
        <v>1328</v>
      </c>
      <c r="IBO264" s="99" t="s">
        <v>1328</v>
      </c>
      <c r="IBP264" s="99" t="s">
        <v>1329</v>
      </c>
      <c r="IBQ264" s="99" t="s">
        <v>1201</v>
      </c>
      <c r="ILF264" s="99" t="s">
        <v>1312</v>
      </c>
      <c r="ILG264" s="99" t="s">
        <v>1196</v>
      </c>
      <c r="ILI264" s="99" t="s">
        <v>1197</v>
      </c>
      <c r="ILJ264" s="99" t="s">
        <v>1328</v>
      </c>
      <c r="ILK264" s="99" t="s">
        <v>1328</v>
      </c>
      <c r="ILL264" s="99" t="s">
        <v>1329</v>
      </c>
      <c r="ILM264" s="99" t="s">
        <v>1201</v>
      </c>
      <c r="IVB264" s="99" t="s">
        <v>1312</v>
      </c>
      <c r="IVC264" s="99" t="s">
        <v>1196</v>
      </c>
      <c r="IVE264" s="99" t="s">
        <v>1197</v>
      </c>
      <c r="IVF264" s="99" t="s">
        <v>1328</v>
      </c>
      <c r="IVG264" s="99" t="s">
        <v>1328</v>
      </c>
      <c r="IVH264" s="99" t="s">
        <v>1329</v>
      </c>
      <c r="IVI264" s="99" t="s">
        <v>1201</v>
      </c>
      <c r="JEX264" s="99" t="s">
        <v>1312</v>
      </c>
      <c r="JEY264" s="99" t="s">
        <v>1196</v>
      </c>
      <c r="JFA264" s="99" t="s">
        <v>1197</v>
      </c>
      <c r="JFB264" s="99" t="s">
        <v>1328</v>
      </c>
      <c r="JFC264" s="99" t="s">
        <v>1328</v>
      </c>
      <c r="JFD264" s="99" t="s">
        <v>1329</v>
      </c>
      <c r="JFE264" s="99" t="s">
        <v>1201</v>
      </c>
      <c r="JOT264" s="99" t="s">
        <v>1312</v>
      </c>
      <c r="JOU264" s="99" t="s">
        <v>1196</v>
      </c>
      <c r="JOW264" s="99" t="s">
        <v>1197</v>
      </c>
      <c r="JOX264" s="99" t="s">
        <v>1328</v>
      </c>
      <c r="JOY264" s="99" t="s">
        <v>1328</v>
      </c>
      <c r="JOZ264" s="99" t="s">
        <v>1329</v>
      </c>
      <c r="JPA264" s="99" t="s">
        <v>1201</v>
      </c>
      <c r="JYP264" s="99" t="s">
        <v>1312</v>
      </c>
      <c r="JYQ264" s="99" t="s">
        <v>1196</v>
      </c>
      <c r="JYS264" s="99" t="s">
        <v>1197</v>
      </c>
      <c r="JYT264" s="99" t="s">
        <v>1328</v>
      </c>
      <c r="JYU264" s="99" t="s">
        <v>1328</v>
      </c>
      <c r="JYV264" s="99" t="s">
        <v>1329</v>
      </c>
      <c r="JYW264" s="99" t="s">
        <v>1201</v>
      </c>
      <c r="KIL264" s="99" t="s">
        <v>1312</v>
      </c>
      <c r="KIM264" s="99" t="s">
        <v>1196</v>
      </c>
      <c r="KIO264" s="99" t="s">
        <v>1197</v>
      </c>
      <c r="KIP264" s="99" t="s">
        <v>1328</v>
      </c>
      <c r="KIQ264" s="99" t="s">
        <v>1328</v>
      </c>
      <c r="KIR264" s="99" t="s">
        <v>1329</v>
      </c>
      <c r="KIS264" s="99" t="s">
        <v>1201</v>
      </c>
      <c r="KSH264" s="99" t="s">
        <v>1312</v>
      </c>
      <c r="KSI264" s="99" t="s">
        <v>1196</v>
      </c>
      <c r="KSK264" s="99" t="s">
        <v>1197</v>
      </c>
      <c r="KSL264" s="99" t="s">
        <v>1328</v>
      </c>
      <c r="KSM264" s="99" t="s">
        <v>1328</v>
      </c>
      <c r="KSN264" s="99" t="s">
        <v>1329</v>
      </c>
      <c r="KSO264" s="99" t="s">
        <v>1201</v>
      </c>
      <c r="LCD264" s="99" t="s">
        <v>1312</v>
      </c>
      <c r="LCE264" s="99" t="s">
        <v>1196</v>
      </c>
      <c r="LCG264" s="99" t="s">
        <v>1197</v>
      </c>
      <c r="LCH264" s="99" t="s">
        <v>1328</v>
      </c>
      <c r="LCI264" s="99" t="s">
        <v>1328</v>
      </c>
      <c r="LCJ264" s="99" t="s">
        <v>1329</v>
      </c>
      <c r="LCK264" s="99" t="s">
        <v>1201</v>
      </c>
      <c r="LLZ264" s="99" t="s">
        <v>1312</v>
      </c>
      <c r="LMA264" s="99" t="s">
        <v>1196</v>
      </c>
      <c r="LMC264" s="99" t="s">
        <v>1197</v>
      </c>
      <c r="LMD264" s="99" t="s">
        <v>1328</v>
      </c>
      <c r="LME264" s="99" t="s">
        <v>1328</v>
      </c>
      <c r="LMF264" s="99" t="s">
        <v>1329</v>
      </c>
      <c r="LMG264" s="99" t="s">
        <v>1201</v>
      </c>
      <c r="LVV264" s="99" t="s">
        <v>1312</v>
      </c>
      <c r="LVW264" s="99" t="s">
        <v>1196</v>
      </c>
      <c r="LVY264" s="99" t="s">
        <v>1197</v>
      </c>
      <c r="LVZ264" s="99" t="s">
        <v>1328</v>
      </c>
      <c r="LWA264" s="99" t="s">
        <v>1328</v>
      </c>
      <c r="LWB264" s="99" t="s">
        <v>1329</v>
      </c>
      <c r="LWC264" s="99" t="s">
        <v>1201</v>
      </c>
      <c r="MFR264" s="99" t="s">
        <v>1312</v>
      </c>
      <c r="MFS264" s="99" t="s">
        <v>1196</v>
      </c>
      <c r="MFU264" s="99" t="s">
        <v>1197</v>
      </c>
      <c r="MFV264" s="99" t="s">
        <v>1328</v>
      </c>
      <c r="MFW264" s="99" t="s">
        <v>1328</v>
      </c>
      <c r="MFX264" s="99" t="s">
        <v>1329</v>
      </c>
      <c r="MFY264" s="99" t="s">
        <v>1201</v>
      </c>
      <c r="MPN264" s="99" t="s">
        <v>1312</v>
      </c>
      <c r="MPO264" s="99" t="s">
        <v>1196</v>
      </c>
      <c r="MPQ264" s="99" t="s">
        <v>1197</v>
      </c>
      <c r="MPR264" s="99" t="s">
        <v>1328</v>
      </c>
      <c r="MPS264" s="99" t="s">
        <v>1328</v>
      </c>
      <c r="MPT264" s="99" t="s">
        <v>1329</v>
      </c>
      <c r="MPU264" s="99" t="s">
        <v>1201</v>
      </c>
      <c r="MZJ264" s="99" t="s">
        <v>1312</v>
      </c>
      <c r="MZK264" s="99" t="s">
        <v>1196</v>
      </c>
      <c r="MZM264" s="99" t="s">
        <v>1197</v>
      </c>
      <c r="MZN264" s="99" t="s">
        <v>1328</v>
      </c>
      <c r="MZO264" s="99" t="s">
        <v>1328</v>
      </c>
      <c r="MZP264" s="99" t="s">
        <v>1329</v>
      </c>
      <c r="MZQ264" s="99" t="s">
        <v>1201</v>
      </c>
      <c r="NJF264" s="99" t="s">
        <v>1312</v>
      </c>
      <c r="NJG264" s="99" t="s">
        <v>1196</v>
      </c>
      <c r="NJI264" s="99" t="s">
        <v>1197</v>
      </c>
      <c r="NJJ264" s="99" t="s">
        <v>1328</v>
      </c>
      <c r="NJK264" s="99" t="s">
        <v>1328</v>
      </c>
      <c r="NJL264" s="99" t="s">
        <v>1329</v>
      </c>
      <c r="NJM264" s="99" t="s">
        <v>1201</v>
      </c>
      <c r="NTB264" s="99" t="s">
        <v>1312</v>
      </c>
      <c r="NTC264" s="99" t="s">
        <v>1196</v>
      </c>
      <c r="NTE264" s="99" t="s">
        <v>1197</v>
      </c>
      <c r="NTF264" s="99" t="s">
        <v>1328</v>
      </c>
      <c r="NTG264" s="99" t="s">
        <v>1328</v>
      </c>
      <c r="NTH264" s="99" t="s">
        <v>1329</v>
      </c>
      <c r="NTI264" s="99" t="s">
        <v>1201</v>
      </c>
      <c r="OCX264" s="99" t="s">
        <v>1312</v>
      </c>
      <c r="OCY264" s="99" t="s">
        <v>1196</v>
      </c>
      <c r="ODA264" s="99" t="s">
        <v>1197</v>
      </c>
      <c r="ODB264" s="99" t="s">
        <v>1328</v>
      </c>
      <c r="ODC264" s="99" t="s">
        <v>1328</v>
      </c>
      <c r="ODD264" s="99" t="s">
        <v>1329</v>
      </c>
      <c r="ODE264" s="99" t="s">
        <v>1201</v>
      </c>
      <c r="OMT264" s="99" t="s">
        <v>1312</v>
      </c>
      <c r="OMU264" s="99" t="s">
        <v>1196</v>
      </c>
      <c r="OMW264" s="99" t="s">
        <v>1197</v>
      </c>
      <c r="OMX264" s="99" t="s">
        <v>1328</v>
      </c>
      <c r="OMY264" s="99" t="s">
        <v>1328</v>
      </c>
      <c r="OMZ264" s="99" t="s">
        <v>1329</v>
      </c>
      <c r="ONA264" s="99" t="s">
        <v>1201</v>
      </c>
      <c r="OWP264" s="99" t="s">
        <v>1312</v>
      </c>
      <c r="OWQ264" s="99" t="s">
        <v>1196</v>
      </c>
      <c r="OWS264" s="99" t="s">
        <v>1197</v>
      </c>
      <c r="OWT264" s="99" t="s">
        <v>1328</v>
      </c>
      <c r="OWU264" s="99" t="s">
        <v>1328</v>
      </c>
      <c r="OWV264" s="99" t="s">
        <v>1329</v>
      </c>
      <c r="OWW264" s="99" t="s">
        <v>1201</v>
      </c>
      <c r="PGL264" s="99" t="s">
        <v>1312</v>
      </c>
      <c r="PGM264" s="99" t="s">
        <v>1196</v>
      </c>
      <c r="PGO264" s="99" t="s">
        <v>1197</v>
      </c>
      <c r="PGP264" s="99" t="s">
        <v>1328</v>
      </c>
      <c r="PGQ264" s="99" t="s">
        <v>1328</v>
      </c>
      <c r="PGR264" s="99" t="s">
        <v>1329</v>
      </c>
      <c r="PGS264" s="99" t="s">
        <v>1201</v>
      </c>
      <c r="PQH264" s="99" t="s">
        <v>1312</v>
      </c>
      <c r="PQI264" s="99" t="s">
        <v>1196</v>
      </c>
      <c r="PQK264" s="99" t="s">
        <v>1197</v>
      </c>
      <c r="PQL264" s="99" t="s">
        <v>1328</v>
      </c>
      <c r="PQM264" s="99" t="s">
        <v>1328</v>
      </c>
      <c r="PQN264" s="99" t="s">
        <v>1329</v>
      </c>
      <c r="PQO264" s="99" t="s">
        <v>1201</v>
      </c>
      <c r="QAD264" s="99" t="s">
        <v>1312</v>
      </c>
      <c r="QAE264" s="99" t="s">
        <v>1196</v>
      </c>
      <c r="QAG264" s="99" t="s">
        <v>1197</v>
      </c>
      <c r="QAH264" s="99" t="s">
        <v>1328</v>
      </c>
      <c r="QAI264" s="99" t="s">
        <v>1328</v>
      </c>
      <c r="QAJ264" s="99" t="s">
        <v>1329</v>
      </c>
      <c r="QAK264" s="99" t="s">
        <v>1201</v>
      </c>
      <c r="QJZ264" s="99" t="s">
        <v>1312</v>
      </c>
      <c r="QKA264" s="99" t="s">
        <v>1196</v>
      </c>
      <c r="QKC264" s="99" t="s">
        <v>1197</v>
      </c>
      <c r="QKD264" s="99" t="s">
        <v>1328</v>
      </c>
      <c r="QKE264" s="99" t="s">
        <v>1328</v>
      </c>
      <c r="QKF264" s="99" t="s">
        <v>1329</v>
      </c>
      <c r="QKG264" s="99" t="s">
        <v>1201</v>
      </c>
      <c r="QTV264" s="99" t="s">
        <v>1312</v>
      </c>
      <c r="QTW264" s="99" t="s">
        <v>1196</v>
      </c>
      <c r="QTY264" s="99" t="s">
        <v>1197</v>
      </c>
      <c r="QTZ264" s="99" t="s">
        <v>1328</v>
      </c>
      <c r="QUA264" s="99" t="s">
        <v>1328</v>
      </c>
      <c r="QUB264" s="99" t="s">
        <v>1329</v>
      </c>
      <c r="QUC264" s="99" t="s">
        <v>1201</v>
      </c>
      <c r="RDR264" s="99" t="s">
        <v>1312</v>
      </c>
      <c r="RDS264" s="99" t="s">
        <v>1196</v>
      </c>
      <c r="RDU264" s="99" t="s">
        <v>1197</v>
      </c>
      <c r="RDV264" s="99" t="s">
        <v>1328</v>
      </c>
      <c r="RDW264" s="99" t="s">
        <v>1328</v>
      </c>
      <c r="RDX264" s="99" t="s">
        <v>1329</v>
      </c>
      <c r="RDY264" s="99" t="s">
        <v>1201</v>
      </c>
      <c r="RNN264" s="99" t="s">
        <v>1312</v>
      </c>
      <c r="RNO264" s="99" t="s">
        <v>1196</v>
      </c>
      <c r="RNQ264" s="99" t="s">
        <v>1197</v>
      </c>
      <c r="RNR264" s="99" t="s">
        <v>1328</v>
      </c>
      <c r="RNS264" s="99" t="s">
        <v>1328</v>
      </c>
      <c r="RNT264" s="99" t="s">
        <v>1329</v>
      </c>
      <c r="RNU264" s="99" t="s">
        <v>1201</v>
      </c>
      <c r="RXJ264" s="99" t="s">
        <v>1312</v>
      </c>
      <c r="RXK264" s="99" t="s">
        <v>1196</v>
      </c>
      <c r="RXM264" s="99" t="s">
        <v>1197</v>
      </c>
      <c r="RXN264" s="99" t="s">
        <v>1328</v>
      </c>
      <c r="RXO264" s="99" t="s">
        <v>1328</v>
      </c>
      <c r="RXP264" s="99" t="s">
        <v>1329</v>
      </c>
      <c r="RXQ264" s="99" t="s">
        <v>1201</v>
      </c>
      <c r="SHF264" s="99" t="s">
        <v>1312</v>
      </c>
      <c r="SHG264" s="99" t="s">
        <v>1196</v>
      </c>
      <c r="SHI264" s="99" t="s">
        <v>1197</v>
      </c>
      <c r="SHJ264" s="99" t="s">
        <v>1328</v>
      </c>
      <c r="SHK264" s="99" t="s">
        <v>1328</v>
      </c>
      <c r="SHL264" s="99" t="s">
        <v>1329</v>
      </c>
      <c r="SHM264" s="99" t="s">
        <v>1201</v>
      </c>
      <c r="SRB264" s="99" t="s">
        <v>1312</v>
      </c>
      <c r="SRC264" s="99" t="s">
        <v>1196</v>
      </c>
      <c r="SRE264" s="99" t="s">
        <v>1197</v>
      </c>
      <c r="SRF264" s="99" t="s">
        <v>1328</v>
      </c>
      <c r="SRG264" s="99" t="s">
        <v>1328</v>
      </c>
      <c r="SRH264" s="99" t="s">
        <v>1329</v>
      </c>
      <c r="SRI264" s="99" t="s">
        <v>1201</v>
      </c>
      <c r="TAX264" s="99" t="s">
        <v>1312</v>
      </c>
      <c r="TAY264" s="99" t="s">
        <v>1196</v>
      </c>
      <c r="TBA264" s="99" t="s">
        <v>1197</v>
      </c>
      <c r="TBB264" s="99" t="s">
        <v>1328</v>
      </c>
      <c r="TBC264" s="99" t="s">
        <v>1328</v>
      </c>
      <c r="TBD264" s="99" t="s">
        <v>1329</v>
      </c>
      <c r="TBE264" s="99" t="s">
        <v>1201</v>
      </c>
      <c r="TKT264" s="99" t="s">
        <v>1312</v>
      </c>
      <c r="TKU264" s="99" t="s">
        <v>1196</v>
      </c>
      <c r="TKW264" s="99" t="s">
        <v>1197</v>
      </c>
      <c r="TKX264" s="99" t="s">
        <v>1328</v>
      </c>
      <c r="TKY264" s="99" t="s">
        <v>1328</v>
      </c>
      <c r="TKZ264" s="99" t="s">
        <v>1329</v>
      </c>
      <c r="TLA264" s="99" t="s">
        <v>1201</v>
      </c>
      <c r="TUP264" s="99" t="s">
        <v>1312</v>
      </c>
      <c r="TUQ264" s="99" t="s">
        <v>1196</v>
      </c>
      <c r="TUS264" s="99" t="s">
        <v>1197</v>
      </c>
      <c r="TUT264" s="99" t="s">
        <v>1328</v>
      </c>
      <c r="TUU264" s="99" t="s">
        <v>1328</v>
      </c>
      <c r="TUV264" s="99" t="s">
        <v>1329</v>
      </c>
      <c r="TUW264" s="99" t="s">
        <v>1201</v>
      </c>
      <c r="UEL264" s="99" t="s">
        <v>1312</v>
      </c>
      <c r="UEM264" s="99" t="s">
        <v>1196</v>
      </c>
      <c r="UEO264" s="99" t="s">
        <v>1197</v>
      </c>
      <c r="UEP264" s="99" t="s">
        <v>1328</v>
      </c>
      <c r="UEQ264" s="99" t="s">
        <v>1328</v>
      </c>
      <c r="UER264" s="99" t="s">
        <v>1329</v>
      </c>
      <c r="UES264" s="99" t="s">
        <v>1201</v>
      </c>
      <c r="UOH264" s="99" t="s">
        <v>1312</v>
      </c>
      <c r="UOI264" s="99" t="s">
        <v>1196</v>
      </c>
      <c r="UOK264" s="99" t="s">
        <v>1197</v>
      </c>
      <c r="UOL264" s="99" t="s">
        <v>1328</v>
      </c>
      <c r="UOM264" s="99" t="s">
        <v>1328</v>
      </c>
      <c r="UON264" s="99" t="s">
        <v>1329</v>
      </c>
      <c r="UOO264" s="99" t="s">
        <v>1201</v>
      </c>
      <c r="UYD264" s="99" t="s">
        <v>1312</v>
      </c>
      <c r="UYE264" s="99" t="s">
        <v>1196</v>
      </c>
      <c r="UYG264" s="99" t="s">
        <v>1197</v>
      </c>
      <c r="UYH264" s="99" t="s">
        <v>1328</v>
      </c>
      <c r="UYI264" s="99" t="s">
        <v>1328</v>
      </c>
      <c r="UYJ264" s="99" t="s">
        <v>1329</v>
      </c>
      <c r="UYK264" s="99" t="s">
        <v>1201</v>
      </c>
      <c r="VHZ264" s="99" t="s">
        <v>1312</v>
      </c>
      <c r="VIA264" s="99" t="s">
        <v>1196</v>
      </c>
      <c r="VIC264" s="99" t="s">
        <v>1197</v>
      </c>
      <c r="VID264" s="99" t="s">
        <v>1328</v>
      </c>
      <c r="VIE264" s="99" t="s">
        <v>1328</v>
      </c>
      <c r="VIF264" s="99" t="s">
        <v>1329</v>
      </c>
      <c r="VIG264" s="99" t="s">
        <v>1201</v>
      </c>
      <c r="VRV264" s="99" t="s">
        <v>1312</v>
      </c>
      <c r="VRW264" s="99" t="s">
        <v>1196</v>
      </c>
      <c r="VRY264" s="99" t="s">
        <v>1197</v>
      </c>
      <c r="VRZ264" s="99" t="s">
        <v>1328</v>
      </c>
      <c r="VSA264" s="99" t="s">
        <v>1328</v>
      </c>
      <c r="VSB264" s="99" t="s">
        <v>1329</v>
      </c>
      <c r="VSC264" s="99" t="s">
        <v>1201</v>
      </c>
      <c r="WBR264" s="99" t="s">
        <v>1312</v>
      </c>
      <c r="WBS264" s="99" t="s">
        <v>1196</v>
      </c>
      <c r="WBU264" s="99" t="s">
        <v>1197</v>
      </c>
      <c r="WBV264" s="99" t="s">
        <v>1328</v>
      </c>
      <c r="WBW264" s="99" t="s">
        <v>1328</v>
      </c>
      <c r="WBX264" s="99" t="s">
        <v>1329</v>
      </c>
      <c r="WBY264" s="99" t="s">
        <v>1201</v>
      </c>
      <c r="WLN264" s="99" t="s">
        <v>1312</v>
      </c>
      <c r="WLO264" s="99" t="s">
        <v>1196</v>
      </c>
      <c r="WLQ264" s="99" t="s">
        <v>1197</v>
      </c>
      <c r="WLR264" s="99" t="s">
        <v>1328</v>
      </c>
      <c r="WLS264" s="99" t="s">
        <v>1328</v>
      </c>
      <c r="WLT264" s="99" t="s">
        <v>1329</v>
      </c>
      <c r="WLU264" s="99" t="s">
        <v>1201</v>
      </c>
      <c r="WVJ264" s="99" t="s">
        <v>1312</v>
      </c>
      <c r="WVK264" s="99" t="s">
        <v>1196</v>
      </c>
      <c r="WVM264" s="99" t="s">
        <v>1197</v>
      </c>
      <c r="WVN264" s="99" t="s">
        <v>1328</v>
      </c>
      <c r="WVO264" s="99" t="s">
        <v>1328</v>
      </c>
      <c r="WVP264" s="99" t="s">
        <v>1329</v>
      </c>
      <c r="WVQ264" s="99" t="s">
        <v>1201</v>
      </c>
    </row>
    <row r="265" spans="1:777 1026:1801 2050:2825 3074:3849 4098:4873 5122:5897 6146:6921 7170:7945 8194:8969 9218:9993 10242:11017 11266:12041 12290:13065 13314:14089 14338:15113 15362:16137" ht="27" thickBot="1">
      <c r="A265" s="2254"/>
      <c r="B265" s="2254"/>
      <c r="C265" s="2251"/>
      <c r="D265" s="2240"/>
      <c r="E265" s="1109" t="s">
        <v>1204</v>
      </c>
      <c r="F265" s="1109" t="s">
        <v>1330</v>
      </c>
      <c r="G265" s="1109" t="s">
        <v>1331</v>
      </c>
      <c r="H265" s="866" t="s">
        <v>1332</v>
      </c>
      <c r="I265" s="1140" t="s">
        <v>1333</v>
      </c>
      <c r="JA265" s="99" t="s">
        <v>1204</v>
      </c>
      <c r="JB265" s="99" t="s">
        <v>1330</v>
      </c>
      <c r="JC265" s="99" t="s">
        <v>1331</v>
      </c>
      <c r="JD265" s="99" t="s">
        <v>1332</v>
      </c>
      <c r="JE265" s="99" t="s">
        <v>1333</v>
      </c>
      <c r="SW265" s="99" t="s">
        <v>1204</v>
      </c>
      <c r="SX265" s="99" t="s">
        <v>1330</v>
      </c>
      <c r="SY265" s="99" t="s">
        <v>1331</v>
      </c>
      <c r="SZ265" s="99" t="s">
        <v>1332</v>
      </c>
      <c r="TA265" s="99" t="s">
        <v>1333</v>
      </c>
      <c r="ACS265" s="99" t="s">
        <v>1204</v>
      </c>
      <c r="ACT265" s="99" t="s">
        <v>1330</v>
      </c>
      <c r="ACU265" s="99" t="s">
        <v>1331</v>
      </c>
      <c r="ACV265" s="99" t="s">
        <v>1332</v>
      </c>
      <c r="ACW265" s="99" t="s">
        <v>1333</v>
      </c>
      <c r="AMO265" s="99" t="s">
        <v>1204</v>
      </c>
      <c r="AMP265" s="99" t="s">
        <v>1330</v>
      </c>
      <c r="AMQ265" s="99" t="s">
        <v>1331</v>
      </c>
      <c r="AMR265" s="99" t="s">
        <v>1332</v>
      </c>
      <c r="AMS265" s="99" t="s">
        <v>1333</v>
      </c>
      <c r="AWK265" s="99" t="s">
        <v>1204</v>
      </c>
      <c r="AWL265" s="99" t="s">
        <v>1330</v>
      </c>
      <c r="AWM265" s="99" t="s">
        <v>1331</v>
      </c>
      <c r="AWN265" s="99" t="s">
        <v>1332</v>
      </c>
      <c r="AWO265" s="99" t="s">
        <v>1333</v>
      </c>
      <c r="BGG265" s="99" t="s">
        <v>1204</v>
      </c>
      <c r="BGH265" s="99" t="s">
        <v>1330</v>
      </c>
      <c r="BGI265" s="99" t="s">
        <v>1331</v>
      </c>
      <c r="BGJ265" s="99" t="s">
        <v>1332</v>
      </c>
      <c r="BGK265" s="99" t="s">
        <v>1333</v>
      </c>
      <c r="BQC265" s="99" t="s">
        <v>1204</v>
      </c>
      <c r="BQD265" s="99" t="s">
        <v>1330</v>
      </c>
      <c r="BQE265" s="99" t="s">
        <v>1331</v>
      </c>
      <c r="BQF265" s="99" t="s">
        <v>1332</v>
      </c>
      <c r="BQG265" s="99" t="s">
        <v>1333</v>
      </c>
      <c r="BZY265" s="99" t="s">
        <v>1204</v>
      </c>
      <c r="BZZ265" s="99" t="s">
        <v>1330</v>
      </c>
      <c r="CAA265" s="99" t="s">
        <v>1331</v>
      </c>
      <c r="CAB265" s="99" t="s">
        <v>1332</v>
      </c>
      <c r="CAC265" s="99" t="s">
        <v>1333</v>
      </c>
      <c r="CJU265" s="99" t="s">
        <v>1204</v>
      </c>
      <c r="CJV265" s="99" t="s">
        <v>1330</v>
      </c>
      <c r="CJW265" s="99" t="s">
        <v>1331</v>
      </c>
      <c r="CJX265" s="99" t="s">
        <v>1332</v>
      </c>
      <c r="CJY265" s="99" t="s">
        <v>1333</v>
      </c>
      <c r="CTQ265" s="99" t="s">
        <v>1204</v>
      </c>
      <c r="CTR265" s="99" t="s">
        <v>1330</v>
      </c>
      <c r="CTS265" s="99" t="s">
        <v>1331</v>
      </c>
      <c r="CTT265" s="99" t="s">
        <v>1332</v>
      </c>
      <c r="CTU265" s="99" t="s">
        <v>1333</v>
      </c>
      <c r="DDM265" s="99" t="s">
        <v>1204</v>
      </c>
      <c r="DDN265" s="99" t="s">
        <v>1330</v>
      </c>
      <c r="DDO265" s="99" t="s">
        <v>1331</v>
      </c>
      <c r="DDP265" s="99" t="s">
        <v>1332</v>
      </c>
      <c r="DDQ265" s="99" t="s">
        <v>1333</v>
      </c>
      <c r="DNI265" s="99" t="s">
        <v>1204</v>
      </c>
      <c r="DNJ265" s="99" t="s">
        <v>1330</v>
      </c>
      <c r="DNK265" s="99" t="s">
        <v>1331</v>
      </c>
      <c r="DNL265" s="99" t="s">
        <v>1332</v>
      </c>
      <c r="DNM265" s="99" t="s">
        <v>1333</v>
      </c>
      <c r="DXE265" s="99" t="s">
        <v>1204</v>
      </c>
      <c r="DXF265" s="99" t="s">
        <v>1330</v>
      </c>
      <c r="DXG265" s="99" t="s">
        <v>1331</v>
      </c>
      <c r="DXH265" s="99" t="s">
        <v>1332</v>
      </c>
      <c r="DXI265" s="99" t="s">
        <v>1333</v>
      </c>
      <c r="EHA265" s="99" t="s">
        <v>1204</v>
      </c>
      <c r="EHB265" s="99" t="s">
        <v>1330</v>
      </c>
      <c r="EHC265" s="99" t="s">
        <v>1331</v>
      </c>
      <c r="EHD265" s="99" t="s">
        <v>1332</v>
      </c>
      <c r="EHE265" s="99" t="s">
        <v>1333</v>
      </c>
      <c r="EQW265" s="99" t="s">
        <v>1204</v>
      </c>
      <c r="EQX265" s="99" t="s">
        <v>1330</v>
      </c>
      <c r="EQY265" s="99" t="s">
        <v>1331</v>
      </c>
      <c r="EQZ265" s="99" t="s">
        <v>1332</v>
      </c>
      <c r="ERA265" s="99" t="s">
        <v>1333</v>
      </c>
      <c r="FAS265" s="99" t="s">
        <v>1204</v>
      </c>
      <c r="FAT265" s="99" t="s">
        <v>1330</v>
      </c>
      <c r="FAU265" s="99" t="s">
        <v>1331</v>
      </c>
      <c r="FAV265" s="99" t="s">
        <v>1332</v>
      </c>
      <c r="FAW265" s="99" t="s">
        <v>1333</v>
      </c>
      <c r="FKO265" s="99" t="s">
        <v>1204</v>
      </c>
      <c r="FKP265" s="99" t="s">
        <v>1330</v>
      </c>
      <c r="FKQ265" s="99" t="s">
        <v>1331</v>
      </c>
      <c r="FKR265" s="99" t="s">
        <v>1332</v>
      </c>
      <c r="FKS265" s="99" t="s">
        <v>1333</v>
      </c>
      <c r="FUK265" s="99" t="s">
        <v>1204</v>
      </c>
      <c r="FUL265" s="99" t="s">
        <v>1330</v>
      </c>
      <c r="FUM265" s="99" t="s">
        <v>1331</v>
      </c>
      <c r="FUN265" s="99" t="s">
        <v>1332</v>
      </c>
      <c r="FUO265" s="99" t="s">
        <v>1333</v>
      </c>
      <c r="GEG265" s="99" t="s">
        <v>1204</v>
      </c>
      <c r="GEH265" s="99" t="s">
        <v>1330</v>
      </c>
      <c r="GEI265" s="99" t="s">
        <v>1331</v>
      </c>
      <c r="GEJ265" s="99" t="s">
        <v>1332</v>
      </c>
      <c r="GEK265" s="99" t="s">
        <v>1333</v>
      </c>
      <c r="GOC265" s="99" t="s">
        <v>1204</v>
      </c>
      <c r="GOD265" s="99" t="s">
        <v>1330</v>
      </c>
      <c r="GOE265" s="99" t="s">
        <v>1331</v>
      </c>
      <c r="GOF265" s="99" t="s">
        <v>1332</v>
      </c>
      <c r="GOG265" s="99" t="s">
        <v>1333</v>
      </c>
      <c r="GXY265" s="99" t="s">
        <v>1204</v>
      </c>
      <c r="GXZ265" s="99" t="s">
        <v>1330</v>
      </c>
      <c r="GYA265" s="99" t="s">
        <v>1331</v>
      </c>
      <c r="GYB265" s="99" t="s">
        <v>1332</v>
      </c>
      <c r="GYC265" s="99" t="s">
        <v>1333</v>
      </c>
      <c r="HHU265" s="99" t="s">
        <v>1204</v>
      </c>
      <c r="HHV265" s="99" t="s">
        <v>1330</v>
      </c>
      <c r="HHW265" s="99" t="s">
        <v>1331</v>
      </c>
      <c r="HHX265" s="99" t="s">
        <v>1332</v>
      </c>
      <c r="HHY265" s="99" t="s">
        <v>1333</v>
      </c>
      <c r="HRQ265" s="99" t="s">
        <v>1204</v>
      </c>
      <c r="HRR265" s="99" t="s">
        <v>1330</v>
      </c>
      <c r="HRS265" s="99" t="s">
        <v>1331</v>
      </c>
      <c r="HRT265" s="99" t="s">
        <v>1332</v>
      </c>
      <c r="HRU265" s="99" t="s">
        <v>1333</v>
      </c>
      <c r="IBM265" s="99" t="s">
        <v>1204</v>
      </c>
      <c r="IBN265" s="99" t="s">
        <v>1330</v>
      </c>
      <c r="IBO265" s="99" t="s">
        <v>1331</v>
      </c>
      <c r="IBP265" s="99" t="s">
        <v>1332</v>
      </c>
      <c r="IBQ265" s="99" t="s">
        <v>1333</v>
      </c>
      <c r="ILI265" s="99" t="s">
        <v>1204</v>
      </c>
      <c r="ILJ265" s="99" t="s">
        <v>1330</v>
      </c>
      <c r="ILK265" s="99" t="s">
        <v>1331</v>
      </c>
      <c r="ILL265" s="99" t="s">
        <v>1332</v>
      </c>
      <c r="ILM265" s="99" t="s">
        <v>1333</v>
      </c>
      <c r="IVE265" s="99" t="s">
        <v>1204</v>
      </c>
      <c r="IVF265" s="99" t="s">
        <v>1330</v>
      </c>
      <c r="IVG265" s="99" t="s">
        <v>1331</v>
      </c>
      <c r="IVH265" s="99" t="s">
        <v>1332</v>
      </c>
      <c r="IVI265" s="99" t="s">
        <v>1333</v>
      </c>
      <c r="JFA265" s="99" t="s">
        <v>1204</v>
      </c>
      <c r="JFB265" s="99" t="s">
        <v>1330</v>
      </c>
      <c r="JFC265" s="99" t="s">
        <v>1331</v>
      </c>
      <c r="JFD265" s="99" t="s">
        <v>1332</v>
      </c>
      <c r="JFE265" s="99" t="s">
        <v>1333</v>
      </c>
      <c r="JOW265" s="99" t="s">
        <v>1204</v>
      </c>
      <c r="JOX265" s="99" t="s">
        <v>1330</v>
      </c>
      <c r="JOY265" s="99" t="s">
        <v>1331</v>
      </c>
      <c r="JOZ265" s="99" t="s">
        <v>1332</v>
      </c>
      <c r="JPA265" s="99" t="s">
        <v>1333</v>
      </c>
      <c r="JYS265" s="99" t="s">
        <v>1204</v>
      </c>
      <c r="JYT265" s="99" t="s">
        <v>1330</v>
      </c>
      <c r="JYU265" s="99" t="s">
        <v>1331</v>
      </c>
      <c r="JYV265" s="99" t="s">
        <v>1332</v>
      </c>
      <c r="JYW265" s="99" t="s">
        <v>1333</v>
      </c>
      <c r="KIO265" s="99" t="s">
        <v>1204</v>
      </c>
      <c r="KIP265" s="99" t="s">
        <v>1330</v>
      </c>
      <c r="KIQ265" s="99" t="s">
        <v>1331</v>
      </c>
      <c r="KIR265" s="99" t="s">
        <v>1332</v>
      </c>
      <c r="KIS265" s="99" t="s">
        <v>1333</v>
      </c>
      <c r="KSK265" s="99" t="s">
        <v>1204</v>
      </c>
      <c r="KSL265" s="99" t="s">
        <v>1330</v>
      </c>
      <c r="KSM265" s="99" t="s">
        <v>1331</v>
      </c>
      <c r="KSN265" s="99" t="s">
        <v>1332</v>
      </c>
      <c r="KSO265" s="99" t="s">
        <v>1333</v>
      </c>
      <c r="LCG265" s="99" t="s">
        <v>1204</v>
      </c>
      <c r="LCH265" s="99" t="s">
        <v>1330</v>
      </c>
      <c r="LCI265" s="99" t="s">
        <v>1331</v>
      </c>
      <c r="LCJ265" s="99" t="s">
        <v>1332</v>
      </c>
      <c r="LCK265" s="99" t="s">
        <v>1333</v>
      </c>
      <c r="LMC265" s="99" t="s">
        <v>1204</v>
      </c>
      <c r="LMD265" s="99" t="s">
        <v>1330</v>
      </c>
      <c r="LME265" s="99" t="s">
        <v>1331</v>
      </c>
      <c r="LMF265" s="99" t="s">
        <v>1332</v>
      </c>
      <c r="LMG265" s="99" t="s">
        <v>1333</v>
      </c>
      <c r="LVY265" s="99" t="s">
        <v>1204</v>
      </c>
      <c r="LVZ265" s="99" t="s">
        <v>1330</v>
      </c>
      <c r="LWA265" s="99" t="s">
        <v>1331</v>
      </c>
      <c r="LWB265" s="99" t="s">
        <v>1332</v>
      </c>
      <c r="LWC265" s="99" t="s">
        <v>1333</v>
      </c>
      <c r="MFU265" s="99" t="s">
        <v>1204</v>
      </c>
      <c r="MFV265" s="99" t="s">
        <v>1330</v>
      </c>
      <c r="MFW265" s="99" t="s">
        <v>1331</v>
      </c>
      <c r="MFX265" s="99" t="s">
        <v>1332</v>
      </c>
      <c r="MFY265" s="99" t="s">
        <v>1333</v>
      </c>
      <c r="MPQ265" s="99" t="s">
        <v>1204</v>
      </c>
      <c r="MPR265" s="99" t="s">
        <v>1330</v>
      </c>
      <c r="MPS265" s="99" t="s">
        <v>1331</v>
      </c>
      <c r="MPT265" s="99" t="s">
        <v>1332</v>
      </c>
      <c r="MPU265" s="99" t="s">
        <v>1333</v>
      </c>
      <c r="MZM265" s="99" t="s">
        <v>1204</v>
      </c>
      <c r="MZN265" s="99" t="s">
        <v>1330</v>
      </c>
      <c r="MZO265" s="99" t="s">
        <v>1331</v>
      </c>
      <c r="MZP265" s="99" t="s">
        <v>1332</v>
      </c>
      <c r="MZQ265" s="99" t="s">
        <v>1333</v>
      </c>
      <c r="NJI265" s="99" t="s">
        <v>1204</v>
      </c>
      <c r="NJJ265" s="99" t="s">
        <v>1330</v>
      </c>
      <c r="NJK265" s="99" t="s">
        <v>1331</v>
      </c>
      <c r="NJL265" s="99" t="s">
        <v>1332</v>
      </c>
      <c r="NJM265" s="99" t="s">
        <v>1333</v>
      </c>
      <c r="NTE265" s="99" t="s">
        <v>1204</v>
      </c>
      <c r="NTF265" s="99" t="s">
        <v>1330</v>
      </c>
      <c r="NTG265" s="99" t="s">
        <v>1331</v>
      </c>
      <c r="NTH265" s="99" t="s">
        <v>1332</v>
      </c>
      <c r="NTI265" s="99" t="s">
        <v>1333</v>
      </c>
      <c r="ODA265" s="99" t="s">
        <v>1204</v>
      </c>
      <c r="ODB265" s="99" t="s">
        <v>1330</v>
      </c>
      <c r="ODC265" s="99" t="s">
        <v>1331</v>
      </c>
      <c r="ODD265" s="99" t="s">
        <v>1332</v>
      </c>
      <c r="ODE265" s="99" t="s">
        <v>1333</v>
      </c>
      <c r="OMW265" s="99" t="s">
        <v>1204</v>
      </c>
      <c r="OMX265" s="99" t="s">
        <v>1330</v>
      </c>
      <c r="OMY265" s="99" t="s">
        <v>1331</v>
      </c>
      <c r="OMZ265" s="99" t="s">
        <v>1332</v>
      </c>
      <c r="ONA265" s="99" t="s">
        <v>1333</v>
      </c>
      <c r="OWS265" s="99" t="s">
        <v>1204</v>
      </c>
      <c r="OWT265" s="99" t="s">
        <v>1330</v>
      </c>
      <c r="OWU265" s="99" t="s">
        <v>1331</v>
      </c>
      <c r="OWV265" s="99" t="s">
        <v>1332</v>
      </c>
      <c r="OWW265" s="99" t="s">
        <v>1333</v>
      </c>
      <c r="PGO265" s="99" t="s">
        <v>1204</v>
      </c>
      <c r="PGP265" s="99" t="s">
        <v>1330</v>
      </c>
      <c r="PGQ265" s="99" t="s">
        <v>1331</v>
      </c>
      <c r="PGR265" s="99" t="s">
        <v>1332</v>
      </c>
      <c r="PGS265" s="99" t="s">
        <v>1333</v>
      </c>
      <c r="PQK265" s="99" t="s">
        <v>1204</v>
      </c>
      <c r="PQL265" s="99" t="s">
        <v>1330</v>
      </c>
      <c r="PQM265" s="99" t="s">
        <v>1331</v>
      </c>
      <c r="PQN265" s="99" t="s">
        <v>1332</v>
      </c>
      <c r="PQO265" s="99" t="s">
        <v>1333</v>
      </c>
      <c r="QAG265" s="99" t="s">
        <v>1204</v>
      </c>
      <c r="QAH265" s="99" t="s">
        <v>1330</v>
      </c>
      <c r="QAI265" s="99" t="s">
        <v>1331</v>
      </c>
      <c r="QAJ265" s="99" t="s">
        <v>1332</v>
      </c>
      <c r="QAK265" s="99" t="s">
        <v>1333</v>
      </c>
      <c r="QKC265" s="99" t="s">
        <v>1204</v>
      </c>
      <c r="QKD265" s="99" t="s">
        <v>1330</v>
      </c>
      <c r="QKE265" s="99" t="s">
        <v>1331</v>
      </c>
      <c r="QKF265" s="99" t="s">
        <v>1332</v>
      </c>
      <c r="QKG265" s="99" t="s">
        <v>1333</v>
      </c>
      <c r="QTY265" s="99" t="s">
        <v>1204</v>
      </c>
      <c r="QTZ265" s="99" t="s">
        <v>1330</v>
      </c>
      <c r="QUA265" s="99" t="s">
        <v>1331</v>
      </c>
      <c r="QUB265" s="99" t="s">
        <v>1332</v>
      </c>
      <c r="QUC265" s="99" t="s">
        <v>1333</v>
      </c>
      <c r="RDU265" s="99" t="s">
        <v>1204</v>
      </c>
      <c r="RDV265" s="99" t="s">
        <v>1330</v>
      </c>
      <c r="RDW265" s="99" t="s">
        <v>1331</v>
      </c>
      <c r="RDX265" s="99" t="s">
        <v>1332</v>
      </c>
      <c r="RDY265" s="99" t="s">
        <v>1333</v>
      </c>
      <c r="RNQ265" s="99" t="s">
        <v>1204</v>
      </c>
      <c r="RNR265" s="99" t="s">
        <v>1330</v>
      </c>
      <c r="RNS265" s="99" t="s">
        <v>1331</v>
      </c>
      <c r="RNT265" s="99" t="s">
        <v>1332</v>
      </c>
      <c r="RNU265" s="99" t="s">
        <v>1333</v>
      </c>
      <c r="RXM265" s="99" t="s">
        <v>1204</v>
      </c>
      <c r="RXN265" s="99" t="s">
        <v>1330</v>
      </c>
      <c r="RXO265" s="99" t="s">
        <v>1331</v>
      </c>
      <c r="RXP265" s="99" t="s">
        <v>1332</v>
      </c>
      <c r="RXQ265" s="99" t="s">
        <v>1333</v>
      </c>
      <c r="SHI265" s="99" t="s">
        <v>1204</v>
      </c>
      <c r="SHJ265" s="99" t="s">
        <v>1330</v>
      </c>
      <c r="SHK265" s="99" t="s">
        <v>1331</v>
      </c>
      <c r="SHL265" s="99" t="s">
        <v>1332</v>
      </c>
      <c r="SHM265" s="99" t="s">
        <v>1333</v>
      </c>
      <c r="SRE265" s="99" t="s">
        <v>1204</v>
      </c>
      <c r="SRF265" s="99" t="s">
        <v>1330</v>
      </c>
      <c r="SRG265" s="99" t="s">
        <v>1331</v>
      </c>
      <c r="SRH265" s="99" t="s">
        <v>1332</v>
      </c>
      <c r="SRI265" s="99" t="s">
        <v>1333</v>
      </c>
      <c r="TBA265" s="99" t="s">
        <v>1204</v>
      </c>
      <c r="TBB265" s="99" t="s">
        <v>1330</v>
      </c>
      <c r="TBC265" s="99" t="s">
        <v>1331</v>
      </c>
      <c r="TBD265" s="99" t="s">
        <v>1332</v>
      </c>
      <c r="TBE265" s="99" t="s">
        <v>1333</v>
      </c>
      <c r="TKW265" s="99" t="s">
        <v>1204</v>
      </c>
      <c r="TKX265" s="99" t="s">
        <v>1330</v>
      </c>
      <c r="TKY265" s="99" t="s">
        <v>1331</v>
      </c>
      <c r="TKZ265" s="99" t="s">
        <v>1332</v>
      </c>
      <c r="TLA265" s="99" t="s">
        <v>1333</v>
      </c>
      <c r="TUS265" s="99" t="s">
        <v>1204</v>
      </c>
      <c r="TUT265" s="99" t="s">
        <v>1330</v>
      </c>
      <c r="TUU265" s="99" t="s">
        <v>1331</v>
      </c>
      <c r="TUV265" s="99" t="s">
        <v>1332</v>
      </c>
      <c r="TUW265" s="99" t="s">
        <v>1333</v>
      </c>
      <c r="UEO265" s="99" t="s">
        <v>1204</v>
      </c>
      <c r="UEP265" s="99" t="s">
        <v>1330</v>
      </c>
      <c r="UEQ265" s="99" t="s">
        <v>1331</v>
      </c>
      <c r="UER265" s="99" t="s">
        <v>1332</v>
      </c>
      <c r="UES265" s="99" t="s">
        <v>1333</v>
      </c>
      <c r="UOK265" s="99" t="s">
        <v>1204</v>
      </c>
      <c r="UOL265" s="99" t="s">
        <v>1330</v>
      </c>
      <c r="UOM265" s="99" t="s">
        <v>1331</v>
      </c>
      <c r="UON265" s="99" t="s">
        <v>1332</v>
      </c>
      <c r="UOO265" s="99" t="s">
        <v>1333</v>
      </c>
      <c r="UYG265" s="99" t="s">
        <v>1204</v>
      </c>
      <c r="UYH265" s="99" t="s">
        <v>1330</v>
      </c>
      <c r="UYI265" s="99" t="s">
        <v>1331</v>
      </c>
      <c r="UYJ265" s="99" t="s">
        <v>1332</v>
      </c>
      <c r="UYK265" s="99" t="s">
        <v>1333</v>
      </c>
      <c r="VIC265" s="99" t="s">
        <v>1204</v>
      </c>
      <c r="VID265" s="99" t="s">
        <v>1330</v>
      </c>
      <c r="VIE265" s="99" t="s">
        <v>1331</v>
      </c>
      <c r="VIF265" s="99" t="s">
        <v>1332</v>
      </c>
      <c r="VIG265" s="99" t="s">
        <v>1333</v>
      </c>
      <c r="VRY265" s="99" t="s">
        <v>1204</v>
      </c>
      <c r="VRZ265" s="99" t="s">
        <v>1330</v>
      </c>
      <c r="VSA265" s="99" t="s">
        <v>1331</v>
      </c>
      <c r="VSB265" s="99" t="s">
        <v>1332</v>
      </c>
      <c r="VSC265" s="99" t="s">
        <v>1333</v>
      </c>
      <c r="WBU265" s="99" t="s">
        <v>1204</v>
      </c>
      <c r="WBV265" s="99" t="s">
        <v>1330</v>
      </c>
      <c r="WBW265" s="99" t="s">
        <v>1331</v>
      </c>
      <c r="WBX265" s="99" t="s">
        <v>1332</v>
      </c>
      <c r="WBY265" s="99" t="s">
        <v>1333</v>
      </c>
      <c r="WLQ265" s="99" t="s">
        <v>1204</v>
      </c>
      <c r="WLR265" s="99" t="s">
        <v>1330</v>
      </c>
      <c r="WLS265" s="99" t="s">
        <v>1331</v>
      </c>
      <c r="WLT265" s="99" t="s">
        <v>1332</v>
      </c>
      <c r="WLU265" s="99" t="s">
        <v>1333</v>
      </c>
      <c r="WVM265" s="99" t="s">
        <v>1204</v>
      </c>
      <c r="WVN265" s="99" t="s">
        <v>1330</v>
      </c>
      <c r="WVO265" s="99" t="s">
        <v>1331</v>
      </c>
      <c r="WVP265" s="99" t="s">
        <v>1332</v>
      </c>
      <c r="WVQ265" s="99" t="s">
        <v>1333</v>
      </c>
    </row>
    <row r="266" spans="1:777 1026:1801 2050:2825 3074:3849 4098:4873 5122:5897 6146:6921 7170:7945 8194:8969 9218:9993 10242:11017 11266:12041 12290:13065 13314:14089 14338:15113 15362:16137" ht="15" thickBot="1">
      <c r="A266" s="2278"/>
      <c r="B266" s="2278"/>
      <c r="C266" s="2277"/>
      <c r="D266" s="2241"/>
      <c r="E266" s="872" t="s">
        <v>1213</v>
      </c>
      <c r="F266" s="872" t="s">
        <v>1334</v>
      </c>
      <c r="G266" s="872" t="s">
        <v>1335</v>
      </c>
      <c r="H266" s="494" t="s">
        <v>1336</v>
      </c>
      <c r="I266" s="872" t="s">
        <v>1337</v>
      </c>
      <c r="JA266" s="99" t="s">
        <v>1213</v>
      </c>
      <c r="JB266" s="99" t="s">
        <v>1334</v>
      </c>
      <c r="JC266" s="99" t="s">
        <v>1335</v>
      </c>
      <c r="JD266" s="99" t="s">
        <v>1336</v>
      </c>
      <c r="JE266" s="99" t="s">
        <v>1337</v>
      </c>
      <c r="SW266" s="99" t="s">
        <v>1213</v>
      </c>
      <c r="SX266" s="99" t="s">
        <v>1334</v>
      </c>
      <c r="SY266" s="99" t="s">
        <v>1335</v>
      </c>
      <c r="SZ266" s="99" t="s">
        <v>1336</v>
      </c>
      <c r="TA266" s="99" t="s">
        <v>1337</v>
      </c>
      <c r="ACS266" s="99" t="s">
        <v>1213</v>
      </c>
      <c r="ACT266" s="99" t="s">
        <v>1334</v>
      </c>
      <c r="ACU266" s="99" t="s">
        <v>1335</v>
      </c>
      <c r="ACV266" s="99" t="s">
        <v>1336</v>
      </c>
      <c r="ACW266" s="99" t="s">
        <v>1337</v>
      </c>
      <c r="AMO266" s="99" t="s">
        <v>1213</v>
      </c>
      <c r="AMP266" s="99" t="s">
        <v>1334</v>
      </c>
      <c r="AMQ266" s="99" t="s">
        <v>1335</v>
      </c>
      <c r="AMR266" s="99" t="s">
        <v>1336</v>
      </c>
      <c r="AMS266" s="99" t="s">
        <v>1337</v>
      </c>
      <c r="AWK266" s="99" t="s">
        <v>1213</v>
      </c>
      <c r="AWL266" s="99" t="s">
        <v>1334</v>
      </c>
      <c r="AWM266" s="99" t="s">
        <v>1335</v>
      </c>
      <c r="AWN266" s="99" t="s">
        <v>1336</v>
      </c>
      <c r="AWO266" s="99" t="s">
        <v>1337</v>
      </c>
      <c r="BGG266" s="99" t="s">
        <v>1213</v>
      </c>
      <c r="BGH266" s="99" t="s">
        <v>1334</v>
      </c>
      <c r="BGI266" s="99" t="s">
        <v>1335</v>
      </c>
      <c r="BGJ266" s="99" t="s">
        <v>1336</v>
      </c>
      <c r="BGK266" s="99" t="s">
        <v>1337</v>
      </c>
      <c r="BQC266" s="99" t="s">
        <v>1213</v>
      </c>
      <c r="BQD266" s="99" t="s">
        <v>1334</v>
      </c>
      <c r="BQE266" s="99" t="s">
        <v>1335</v>
      </c>
      <c r="BQF266" s="99" t="s">
        <v>1336</v>
      </c>
      <c r="BQG266" s="99" t="s">
        <v>1337</v>
      </c>
      <c r="BZY266" s="99" t="s">
        <v>1213</v>
      </c>
      <c r="BZZ266" s="99" t="s">
        <v>1334</v>
      </c>
      <c r="CAA266" s="99" t="s">
        <v>1335</v>
      </c>
      <c r="CAB266" s="99" t="s">
        <v>1336</v>
      </c>
      <c r="CAC266" s="99" t="s">
        <v>1337</v>
      </c>
      <c r="CJU266" s="99" t="s">
        <v>1213</v>
      </c>
      <c r="CJV266" s="99" t="s">
        <v>1334</v>
      </c>
      <c r="CJW266" s="99" t="s">
        <v>1335</v>
      </c>
      <c r="CJX266" s="99" t="s">
        <v>1336</v>
      </c>
      <c r="CJY266" s="99" t="s">
        <v>1337</v>
      </c>
      <c r="CTQ266" s="99" t="s">
        <v>1213</v>
      </c>
      <c r="CTR266" s="99" t="s">
        <v>1334</v>
      </c>
      <c r="CTS266" s="99" t="s">
        <v>1335</v>
      </c>
      <c r="CTT266" s="99" t="s">
        <v>1336</v>
      </c>
      <c r="CTU266" s="99" t="s">
        <v>1337</v>
      </c>
      <c r="DDM266" s="99" t="s">
        <v>1213</v>
      </c>
      <c r="DDN266" s="99" t="s">
        <v>1334</v>
      </c>
      <c r="DDO266" s="99" t="s">
        <v>1335</v>
      </c>
      <c r="DDP266" s="99" t="s">
        <v>1336</v>
      </c>
      <c r="DDQ266" s="99" t="s">
        <v>1337</v>
      </c>
      <c r="DNI266" s="99" t="s">
        <v>1213</v>
      </c>
      <c r="DNJ266" s="99" t="s">
        <v>1334</v>
      </c>
      <c r="DNK266" s="99" t="s">
        <v>1335</v>
      </c>
      <c r="DNL266" s="99" t="s">
        <v>1336</v>
      </c>
      <c r="DNM266" s="99" t="s">
        <v>1337</v>
      </c>
      <c r="DXE266" s="99" t="s">
        <v>1213</v>
      </c>
      <c r="DXF266" s="99" t="s">
        <v>1334</v>
      </c>
      <c r="DXG266" s="99" t="s">
        <v>1335</v>
      </c>
      <c r="DXH266" s="99" t="s">
        <v>1336</v>
      </c>
      <c r="DXI266" s="99" t="s">
        <v>1337</v>
      </c>
      <c r="EHA266" s="99" t="s">
        <v>1213</v>
      </c>
      <c r="EHB266" s="99" t="s">
        <v>1334</v>
      </c>
      <c r="EHC266" s="99" t="s">
        <v>1335</v>
      </c>
      <c r="EHD266" s="99" t="s">
        <v>1336</v>
      </c>
      <c r="EHE266" s="99" t="s">
        <v>1337</v>
      </c>
      <c r="EQW266" s="99" t="s">
        <v>1213</v>
      </c>
      <c r="EQX266" s="99" t="s">
        <v>1334</v>
      </c>
      <c r="EQY266" s="99" t="s">
        <v>1335</v>
      </c>
      <c r="EQZ266" s="99" t="s">
        <v>1336</v>
      </c>
      <c r="ERA266" s="99" t="s">
        <v>1337</v>
      </c>
      <c r="FAS266" s="99" t="s">
        <v>1213</v>
      </c>
      <c r="FAT266" s="99" t="s">
        <v>1334</v>
      </c>
      <c r="FAU266" s="99" t="s">
        <v>1335</v>
      </c>
      <c r="FAV266" s="99" t="s">
        <v>1336</v>
      </c>
      <c r="FAW266" s="99" t="s">
        <v>1337</v>
      </c>
      <c r="FKO266" s="99" t="s">
        <v>1213</v>
      </c>
      <c r="FKP266" s="99" t="s">
        <v>1334</v>
      </c>
      <c r="FKQ266" s="99" t="s">
        <v>1335</v>
      </c>
      <c r="FKR266" s="99" t="s">
        <v>1336</v>
      </c>
      <c r="FKS266" s="99" t="s">
        <v>1337</v>
      </c>
      <c r="FUK266" s="99" t="s">
        <v>1213</v>
      </c>
      <c r="FUL266" s="99" t="s">
        <v>1334</v>
      </c>
      <c r="FUM266" s="99" t="s">
        <v>1335</v>
      </c>
      <c r="FUN266" s="99" t="s">
        <v>1336</v>
      </c>
      <c r="FUO266" s="99" t="s">
        <v>1337</v>
      </c>
      <c r="GEG266" s="99" t="s">
        <v>1213</v>
      </c>
      <c r="GEH266" s="99" t="s">
        <v>1334</v>
      </c>
      <c r="GEI266" s="99" t="s">
        <v>1335</v>
      </c>
      <c r="GEJ266" s="99" t="s">
        <v>1336</v>
      </c>
      <c r="GEK266" s="99" t="s">
        <v>1337</v>
      </c>
      <c r="GOC266" s="99" t="s">
        <v>1213</v>
      </c>
      <c r="GOD266" s="99" t="s">
        <v>1334</v>
      </c>
      <c r="GOE266" s="99" t="s">
        <v>1335</v>
      </c>
      <c r="GOF266" s="99" t="s">
        <v>1336</v>
      </c>
      <c r="GOG266" s="99" t="s">
        <v>1337</v>
      </c>
      <c r="GXY266" s="99" t="s">
        <v>1213</v>
      </c>
      <c r="GXZ266" s="99" t="s">
        <v>1334</v>
      </c>
      <c r="GYA266" s="99" t="s">
        <v>1335</v>
      </c>
      <c r="GYB266" s="99" t="s">
        <v>1336</v>
      </c>
      <c r="GYC266" s="99" t="s">
        <v>1337</v>
      </c>
      <c r="HHU266" s="99" t="s">
        <v>1213</v>
      </c>
      <c r="HHV266" s="99" t="s">
        <v>1334</v>
      </c>
      <c r="HHW266" s="99" t="s">
        <v>1335</v>
      </c>
      <c r="HHX266" s="99" t="s">
        <v>1336</v>
      </c>
      <c r="HHY266" s="99" t="s">
        <v>1337</v>
      </c>
      <c r="HRQ266" s="99" t="s">
        <v>1213</v>
      </c>
      <c r="HRR266" s="99" t="s">
        <v>1334</v>
      </c>
      <c r="HRS266" s="99" t="s">
        <v>1335</v>
      </c>
      <c r="HRT266" s="99" t="s">
        <v>1336</v>
      </c>
      <c r="HRU266" s="99" t="s">
        <v>1337</v>
      </c>
      <c r="IBM266" s="99" t="s">
        <v>1213</v>
      </c>
      <c r="IBN266" s="99" t="s">
        <v>1334</v>
      </c>
      <c r="IBO266" s="99" t="s">
        <v>1335</v>
      </c>
      <c r="IBP266" s="99" t="s">
        <v>1336</v>
      </c>
      <c r="IBQ266" s="99" t="s">
        <v>1337</v>
      </c>
      <c r="ILI266" s="99" t="s">
        <v>1213</v>
      </c>
      <c r="ILJ266" s="99" t="s">
        <v>1334</v>
      </c>
      <c r="ILK266" s="99" t="s">
        <v>1335</v>
      </c>
      <c r="ILL266" s="99" t="s">
        <v>1336</v>
      </c>
      <c r="ILM266" s="99" t="s">
        <v>1337</v>
      </c>
      <c r="IVE266" s="99" t="s">
        <v>1213</v>
      </c>
      <c r="IVF266" s="99" t="s">
        <v>1334</v>
      </c>
      <c r="IVG266" s="99" t="s">
        <v>1335</v>
      </c>
      <c r="IVH266" s="99" t="s">
        <v>1336</v>
      </c>
      <c r="IVI266" s="99" t="s">
        <v>1337</v>
      </c>
      <c r="JFA266" s="99" t="s">
        <v>1213</v>
      </c>
      <c r="JFB266" s="99" t="s">
        <v>1334</v>
      </c>
      <c r="JFC266" s="99" t="s">
        <v>1335</v>
      </c>
      <c r="JFD266" s="99" t="s">
        <v>1336</v>
      </c>
      <c r="JFE266" s="99" t="s">
        <v>1337</v>
      </c>
      <c r="JOW266" s="99" t="s">
        <v>1213</v>
      </c>
      <c r="JOX266" s="99" t="s">
        <v>1334</v>
      </c>
      <c r="JOY266" s="99" t="s">
        <v>1335</v>
      </c>
      <c r="JOZ266" s="99" t="s">
        <v>1336</v>
      </c>
      <c r="JPA266" s="99" t="s">
        <v>1337</v>
      </c>
      <c r="JYS266" s="99" t="s">
        <v>1213</v>
      </c>
      <c r="JYT266" s="99" t="s">
        <v>1334</v>
      </c>
      <c r="JYU266" s="99" t="s">
        <v>1335</v>
      </c>
      <c r="JYV266" s="99" t="s">
        <v>1336</v>
      </c>
      <c r="JYW266" s="99" t="s">
        <v>1337</v>
      </c>
      <c r="KIO266" s="99" t="s">
        <v>1213</v>
      </c>
      <c r="KIP266" s="99" t="s">
        <v>1334</v>
      </c>
      <c r="KIQ266" s="99" t="s">
        <v>1335</v>
      </c>
      <c r="KIR266" s="99" t="s">
        <v>1336</v>
      </c>
      <c r="KIS266" s="99" t="s">
        <v>1337</v>
      </c>
      <c r="KSK266" s="99" t="s">
        <v>1213</v>
      </c>
      <c r="KSL266" s="99" t="s">
        <v>1334</v>
      </c>
      <c r="KSM266" s="99" t="s">
        <v>1335</v>
      </c>
      <c r="KSN266" s="99" t="s">
        <v>1336</v>
      </c>
      <c r="KSO266" s="99" t="s">
        <v>1337</v>
      </c>
      <c r="LCG266" s="99" t="s">
        <v>1213</v>
      </c>
      <c r="LCH266" s="99" t="s">
        <v>1334</v>
      </c>
      <c r="LCI266" s="99" t="s">
        <v>1335</v>
      </c>
      <c r="LCJ266" s="99" t="s">
        <v>1336</v>
      </c>
      <c r="LCK266" s="99" t="s">
        <v>1337</v>
      </c>
      <c r="LMC266" s="99" t="s">
        <v>1213</v>
      </c>
      <c r="LMD266" s="99" t="s">
        <v>1334</v>
      </c>
      <c r="LME266" s="99" t="s">
        <v>1335</v>
      </c>
      <c r="LMF266" s="99" t="s">
        <v>1336</v>
      </c>
      <c r="LMG266" s="99" t="s">
        <v>1337</v>
      </c>
      <c r="LVY266" s="99" t="s">
        <v>1213</v>
      </c>
      <c r="LVZ266" s="99" t="s">
        <v>1334</v>
      </c>
      <c r="LWA266" s="99" t="s">
        <v>1335</v>
      </c>
      <c r="LWB266" s="99" t="s">
        <v>1336</v>
      </c>
      <c r="LWC266" s="99" t="s">
        <v>1337</v>
      </c>
      <c r="MFU266" s="99" t="s">
        <v>1213</v>
      </c>
      <c r="MFV266" s="99" t="s">
        <v>1334</v>
      </c>
      <c r="MFW266" s="99" t="s">
        <v>1335</v>
      </c>
      <c r="MFX266" s="99" t="s">
        <v>1336</v>
      </c>
      <c r="MFY266" s="99" t="s">
        <v>1337</v>
      </c>
      <c r="MPQ266" s="99" t="s">
        <v>1213</v>
      </c>
      <c r="MPR266" s="99" t="s">
        <v>1334</v>
      </c>
      <c r="MPS266" s="99" t="s">
        <v>1335</v>
      </c>
      <c r="MPT266" s="99" t="s">
        <v>1336</v>
      </c>
      <c r="MPU266" s="99" t="s">
        <v>1337</v>
      </c>
      <c r="MZM266" s="99" t="s">
        <v>1213</v>
      </c>
      <c r="MZN266" s="99" t="s">
        <v>1334</v>
      </c>
      <c r="MZO266" s="99" t="s">
        <v>1335</v>
      </c>
      <c r="MZP266" s="99" t="s">
        <v>1336</v>
      </c>
      <c r="MZQ266" s="99" t="s">
        <v>1337</v>
      </c>
      <c r="NJI266" s="99" t="s">
        <v>1213</v>
      </c>
      <c r="NJJ266" s="99" t="s">
        <v>1334</v>
      </c>
      <c r="NJK266" s="99" t="s">
        <v>1335</v>
      </c>
      <c r="NJL266" s="99" t="s">
        <v>1336</v>
      </c>
      <c r="NJM266" s="99" t="s">
        <v>1337</v>
      </c>
      <c r="NTE266" s="99" t="s">
        <v>1213</v>
      </c>
      <c r="NTF266" s="99" t="s">
        <v>1334</v>
      </c>
      <c r="NTG266" s="99" t="s">
        <v>1335</v>
      </c>
      <c r="NTH266" s="99" t="s">
        <v>1336</v>
      </c>
      <c r="NTI266" s="99" t="s">
        <v>1337</v>
      </c>
      <c r="ODA266" s="99" t="s">
        <v>1213</v>
      </c>
      <c r="ODB266" s="99" t="s">
        <v>1334</v>
      </c>
      <c r="ODC266" s="99" t="s">
        <v>1335</v>
      </c>
      <c r="ODD266" s="99" t="s">
        <v>1336</v>
      </c>
      <c r="ODE266" s="99" t="s">
        <v>1337</v>
      </c>
      <c r="OMW266" s="99" t="s">
        <v>1213</v>
      </c>
      <c r="OMX266" s="99" t="s">
        <v>1334</v>
      </c>
      <c r="OMY266" s="99" t="s">
        <v>1335</v>
      </c>
      <c r="OMZ266" s="99" t="s">
        <v>1336</v>
      </c>
      <c r="ONA266" s="99" t="s">
        <v>1337</v>
      </c>
      <c r="OWS266" s="99" t="s">
        <v>1213</v>
      </c>
      <c r="OWT266" s="99" t="s">
        <v>1334</v>
      </c>
      <c r="OWU266" s="99" t="s">
        <v>1335</v>
      </c>
      <c r="OWV266" s="99" t="s">
        <v>1336</v>
      </c>
      <c r="OWW266" s="99" t="s">
        <v>1337</v>
      </c>
      <c r="PGO266" s="99" t="s">
        <v>1213</v>
      </c>
      <c r="PGP266" s="99" t="s">
        <v>1334</v>
      </c>
      <c r="PGQ266" s="99" t="s">
        <v>1335</v>
      </c>
      <c r="PGR266" s="99" t="s">
        <v>1336</v>
      </c>
      <c r="PGS266" s="99" t="s">
        <v>1337</v>
      </c>
      <c r="PQK266" s="99" t="s">
        <v>1213</v>
      </c>
      <c r="PQL266" s="99" t="s">
        <v>1334</v>
      </c>
      <c r="PQM266" s="99" t="s">
        <v>1335</v>
      </c>
      <c r="PQN266" s="99" t="s">
        <v>1336</v>
      </c>
      <c r="PQO266" s="99" t="s">
        <v>1337</v>
      </c>
      <c r="QAG266" s="99" t="s">
        <v>1213</v>
      </c>
      <c r="QAH266" s="99" t="s">
        <v>1334</v>
      </c>
      <c r="QAI266" s="99" t="s">
        <v>1335</v>
      </c>
      <c r="QAJ266" s="99" t="s">
        <v>1336</v>
      </c>
      <c r="QAK266" s="99" t="s">
        <v>1337</v>
      </c>
      <c r="QKC266" s="99" t="s">
        <v>1213</v>
      </c>
      <c r="QKD266" s="99" t="s">
        <v>1334</v>
      </c>
      <c r="QKE266" s="99" t="s">
        <v>1335</v>
      </c>
      <c r="QKF266" s="99" t="s">
        <v>1336</v>
      </c>
      <c r="QKG266" s="99" t="s">
        <v>1337</v>
      </c>
      <c r="QTY266" s="99" t="s">
        <v>1213</v>
      </c>
      <c r="QTZ266" s="99" t="s">
        <v>1334</v>
      </c>
      <c r="QUA266" s="99" t="s">
        <v>1335</v>
      </c>
      <c r="QUB266" s="99" t="s">
        <v>1336</v>
      </c>
      <c r="QUC266" s="99" t="s">
        <v>1337</v>
      </c>
      <c r="RDU266" s="99" t="s">
        <v>1213</v>
      </c>
      <c r="RDV266" s="99" t="s">
        <v>1334</v>
      </c>
      <c r="RDW266" s="99" t="s">
        <v>1335</v>
      </c>
      <c r="RDX266" s="99" t="s">
        <v>1336</v>
      </c>
      <c r="RDY266" s="99" t="s">
        <v>1337</v>
      </c>
      <c r="RNQ266" s="99" t="s">
        <v>1213</v>
      </c>
      <c r="RNR266" s="99" t="s">
        <v>1334</v>
      </c>
      <c r="RNS266" s="99" t="s">
        <v>1335</v>
      </c>
      <c r="RNT266" s="99" t="s">
        <v>1336</v>
      </c>
      <c r="RNU266" s="99" t="s">
        <v>1337</v>
      </c>
      <c r="RXM266" s="99" t="s">
        <v>1213</v>
      </c>
      <c r="RXN266" s="99" t="s">
        <v>1334</v>
      </c>
      <c r="RXO266" s="99" t="s">
        <v>1335</v>
      </c>
      <c r="RXP266" s="99" t="s">
        <v>1336</v>
      </c>
      <c r="RXQ266" s="99" t="s">
        <v>1337</v>
      </c>
      <c r="SHI266" s="99" t="s">
        <v>1213</v>
      </c>
      <c r="SHJ266" s="99" t="s">
        <v>1334</v>
      </c>
      <c r="SHK266" s="99" t="s">
        <v>1335</v>
      </c>
      <c r="SHL266" s="99" t="s">
        <v>1336</v>
      </c>
      <c r="SHM266" s="99" t="s">
        <v>1337</v>
      </c>
      <c r="SRE266" s="99" t="s">
        <v>1213</v>
      </c>
      <c r="SRF266" s="99" t="s">
        <v>1334</v>
      </c>
      <c r="SRG266" s="99" t="s">
        <v>1335</v>
      </c>
      <c r="SRH266" s="99" t="s">
        <v>1336</v>
      </c>
      <c r="SRI266" s="99" t="s">
        <v>1337</v>
      </c>
      <c r="TBA266" s="99" t="s">
        <v>1213</v>
      </c>
      <c r="TBB266" s="99" t="s">
        <v>1334</v>
      </c>
      <c r="TBC266" s="99" t="s">
        <v>1335</v>
      </c>
      <c r="TBD266" s="99" t="s">
        <v>1336</v>
      </c>
      <c r="TBE266" s="99" t="s">
        <v>1337</v>
      </c>
      <c r="TKW266" s="99" t="s">
        <v>1213</v>
      </c>
      <c r="TKX266" s="99" t="s">
        <v>1334</v>
      </c>
      <c r="TKY266" s="99" t="s">
        <v>1335</v>
      </c>
      <c r="TKZ266" s="99" t="s">
        <v>1336</v>
      </c>
      <c r="TLA266" s="99" t="s">
        <v>1337</v>
      </c>
      <c r="TUS266" s="99" t="s">
        <v>1213</v>
      </c>
      <c r="TUT266" s="99" t="s">
        <v>1334</v>
      </c>
      <c r="TUU266" s="99" t="s">
        <v>1335</v>
      </c>
      <c r="TUV266" s="99" t="s">
        <v>1336</v>
      </c>
      <c r="TUW266" s="99" t="s">
        <v>1337</v>
      </c>
      <c r="UEO266" s="99" t="s">
        <v>1213</v>
      </c>
      <c r="UEP266" s="99" t="s">
        <v>1334</v>
      </c>
      <c r="UEQ266" s="99" t="s">
        <v>1335</v>
      </c>
      <c r="UER266" s="99" t="s">
        <v>1336</v>
      </c>
      <c r="UES266" s="99" t="s">
        <v>1337</v>
      </c>
      <c r="UOK266" s="99" t="s">
        <v>1213</v>
      </c>
      <c r="UOL266" s="99" t="s">
        <v>1334</v>
      </c>
      <c r="UOM266" s="99" t="s">
        <v>1335</v>
      </c>
      <c r="UON266" s="99" t="s">
        <v>1336</v>
      </c>
      <c r="UOO266" s="99" t="s">
        <v>1337</v>
      </c>
      <c r="UYG266" s="99" t="s">
        <v>1213</v>
      </c>
      <c r="UYH266" s="99" t="s">
        <v>1334</v>
      </c>
      <c r="UYI266" s="99" t="s">
        <v>1335</v>
      </c>
      <c r="UYJ266" s="99" t="s">
        <v>1336</v>
      </c>
      <c r="UYK266" s="99" t="s">
        <v>1337</v>
      </c>
      <c r="VIC266" s="99" t="s">
        <v>1213</v>
      </c>
      <c r="VID266" s="99" t="s">
        <v>1334</v>
      </c>
      <c r="VIE266" s="99" t="s">
        <v>1335</v>
      </c>
      <c r="VIF266" s="99" t="s">
        <v>1336</v>
      </c>
      <c r="VIG266" s="99" t="s">
        <v>1337</v>
      </c>
      <c r="VRY266" s="99" t="s">
        <v>1213</v>
      </c>
      <c r="VRZ266" s="99" t="s">
        <v>1334</v>
      </c>
      <c r="VSA266" s="99" t="s">
        <v>1335</v>
      </c>
      <c r="VSB266" s="99" t="s">
        <v>1336</v>
      </c>
      <c r="VSC266" s="99" t="s">
        <v>1337</v>
      </c>
      <c r="WBU266" s="99" t="s">
        <v>1213</v>
      </c>
      <c r="WBV266" s="99" t="s">
        <v>1334</v>
      </c>
      <c r="WBW266" s="99" t="s">
        <v>1335</v>
      </c>
      <c r="WBX266" s="99" t="s">
        <v>1336</v>
      </c>
      <c r="WBY266" s="99" t="s">
        <v>1337</v>
      </c>
      <c r="WLQ266" s="99" t="s">
        <v>1213</v>
      </c>
      <c r="WLR266" s="99" t="s">
        <v>1334</v>
      </c>
      <c r="WLS266" s="99" t="s">
        <v>1335</v>
      </c>
      <c r="WLT266" s="99" t="s">
        <v>1336</v>
      </c>
      <c r="WLU266" s="99" t="s">
        <v>1337</v>
      </c>
      <c r="WVM266" s="99" t="s">
        <v>1213</v>
      </c>
      <c r="WVN266" s="99" t="s">
        <v>1334</v>
      </c>
      <c r="WVO266" s="99" t="s">
        <v>1335</v>
      </c>
      <c r="WVP266" s="99" t="s">
        <v>1336</v>
      </c>
      <c r="WVQ266" s="99" t="s">
        <v>1337</v>
      </c>
    </row>
    <row r="267" spans="1:777 1026:1801 2050:2825 3074:3849 4098:4873 5122:5897 6146:6921 7170:7945 8194:8969 9218:9993 10242:11017 11266:12041 12290:13065 13314:14089 14338:15113 15362:16137" ht="14.4" thickTop="1" thickBot="1">
      <c r="A267" s="2264" t="s">
        <v>1338</v>
      </c>
      <c r="B267" s="2264" t="s">
        <v>1219</v>
      </c>
      <c r="C267" s="1139" t="s">
        <v>1339</v>
      </c>
      <c r="D267" s="1746"/>
      <c r="E267" s="1244"/>
      <c r="F267" s="1131"/>
      <c r="G267" s="1131"/>
      <c r="H267" s="1139" t="s">
        <v>1340</v>
      </c>
      <c r="I267" s="1132"/>
      <c r="IX267" s="99" t="s">
        <v>1338</v>
      </c>
      <c r="IY267" s="99" t="s">
        <v>1219</v>
      </c>
      <c r="IZ267" s="99" t="s">
        <v>1339</v>
      </c>
      <c r="JD267" s="99" t="s">
        <v>1340</v>
      </c>
      <c r="ST267" s="99" t="s">
        <v>1338</v>
      </c>
      <c r="SU267" s="99" t="s">
        <v>1219</v>
      </c>
      <c r="SV267" s="99" t="s">
        <v>1339</v>
      </c>
      <c r="SZ267" s="99" t="s">
        <v>1340</v>
      </c>
      <c r="ACP267" s="99" t="s">
        <v>1338</v>
      </c>
      <c r="ACQ267" s="99" t="s">
        <v>1219</v>
      </c>
      <c r="ACR267" s="99" t="s">
        <v>1339</v>
      </c>
      <c r="ACV267" s="99" t="s">
        <v>1340</v>
      </c>
      <c r="AML267" s="99" t="s">
        <v>1338</v>
      </c>
      <c r="AMM267" s="99" t="s">
        <v>1219</v>
      </c>
      <c r="AMN267" s="99" t="s">
        <v>1339</v>
      </c>
      <c r="AMR267" s="99" t="s">
        <v>1340</v>
      </c>
      <c r="AWH267" s="99" t="s">
        <v>1338</v>
      </c>
      <c r="AWI267" s="99" t="s">
        <v>1219</v>
      </c>
      <c r="AWJ267" s="99" t="s">
        <v>1339</v>
      </c>
      <c r="AWN267" s="99" t="s">
        <v>1340</v>
      </c>
      <c r="BGD267" s="99" t="s">
        <v>1338</v>
      </c>
      <c r="BGE267" s="99" t="s">
        <v>1219</v>
      </c>
      <c r="BGF267" s="99" t="s">
        <v>1339</v>
      </c>
      <c r="BGJ267" s="99" t="s">
        <v>1340</v>
      </c>
      <c r="BPZ267" s="99" t="s">
        <v>1338</v>
      </c>
      <c r="BQA267" s="99" t="s">
        <v>1219</v>
      </c>
      <c r="BQB267" s="99" t="s">
        <v>1339</v>
      </c>
      <c r="BQF267" s="99" t="s">
        <v>1340</v>
      </c>
      <c r="BZV267" s="99" t="s">
        <v>1338</v>
      </c>
      <c r="BZW267" s="99" t="s">
        <v>1219</v>
      </c>
      <c r="BZX267" s="99" t="s">
        <v>1339</v>
      </c>
      <c r="CAB267" s="99" t="s">
        <v>1340</v>
      </c>
      <c r="CJR267" s="99" t="s">
        <v>1338</v>
      </c>
      <c r="CJS267" s="99" t="s">
        <v>1219</v>
      </c>
      <c r="CJT267" s="99" t="s">
        <v>1339</v>
      </c>
      <c r="CJX267" s="99" t="s">
        <v>1340</v>
      </c>
      <c r="CTN267" s="99" t="s">
        <v>1338</v>
      </c>
      <c r="CTO267" s="99" t="s">
        <v>1219</v>
      </c>
      <c r="CTP267" s="99" t="s">
        <v>1339</v>
      </c>
      <c r="CTT267" s="99" t="s">
        <v>1340</v>
      </c>
      <c r="DDJ267" s="99" t="s">
        <v>1338</v>
      </c>
      <c r="DDK267" s="99" t="s">
        <v>1219</v>
      </c>
      <c r="DDL267" s="99" t="s">
        <v>1339</v>
      </c>
      <c r="DDP267" s="99" t="s">
        <v>1340</v>
      </c>
      <c r="DNF267" s="99" t="s">
        <v>1338</v>
      </c>
      <c r="DNG267" s="99" t="s">
        <v>1219</v>
      </c>
      <c r="DNH267" s="99" t="s">
        <v>1339</v>
      </c>
      <c r="DNL267" s="99" t="s">
        <v>1340</v>
      </c>
      <c r="DXB267" s="99" t="s">
        <v>1338</v>
      </c>
      <c r="DXC267" s="99" t="s">
        <v>1219</v>
      </c>
      <c r="DXD267" s="99" t="s">
        <v>1339</v>
      </c>
      <c r="DXH267" s="99" t="s">
        <v>1340</v>
      </c>
      <c r="EGX267" s="99" t="s">
        <v>1338</v>
      </c>
      <c r="EGY267" s="99" t="s">
        <v>1219</v>
      </c>
      <c r="EGZ267" s="99" t="s">
        <v>1339</v>
      </c>
      <c r="EHD267" s="99" t="s">
        <v>1340</v>
      </c>
      <c r="EQT267" s="99" t="s">
        <v>1338</v>
      </c>
      <c r="EQU267" s="99" t="s">
        <v>1219</v>
      </c>
      <c r="EQV267" s="99" t="s">
        <v>1339</v>
      </c>
      <c r="EQZ267" s="99" t="s">
        <v>1340</v>
      </c>
      <c r="FAP267" s="99" t="s">
        <v>1338</v>
      </c>
      <c r="FAQ267" s="99" t="s">
        <v>1219</v>
      </c>
      <c r="FAR267" s="99" t="s">
        <v>1339</v>
      </c>
      <c r="FAV267" s="99" t="s">
        <v>1340</v>
      </c>
      <c r="FKL267" s="99" t="s">
        <v>1338</v>
      </c>
      <c r="FKM267" s="99" t="s">
        <v>1219</v>
      </c>
      <c r="FKN267" s="99" t="s">
        <v>1339</v>
      </c>
      <c r="FKR267" s="99" t="s">
        <v>1340</v>
      </c>
      <c r="FUH267" s="99" t="s">
        <v>1338</v>
      </c>
      <c r="FUI267" s="99" t="s">
        <v>1219</v>
      </c>
      <c r="FUJ267" s="99" t="s">
        <v>1339</v>
      </c>
      <c r="FUN267" s="99" t="s">
        <v>1340</v>
      </c>
      <c r="GED267" s="99" t="s">
        <v>1338</v>
      </c>
      <c r="GEE267" s="99" t="s">
        <v>1219</v>
      </c>
      <c r="GEF267" s="99" t="s">
        <v>1339</v>
      </c>
      <c r="GEJ267" s="99" t="s">
        <v>1340</v>
      </c>
      <c r="GNZ267" s="99" t="s">
        <v>1338</v>
      </c>
      <c r="GOA267" s="99" t="s">
        <v>1219</v>
      </c>
      <c r="GOB267" s="99" t="s">
        <v>1339</v>
      </c>
      <c r="GOF267" s="99" t="s">
        <v>1340</v>
      </c>
      <c r="GXV267" s="99" t="s">
        <v>1338</v>
      </c>
      <c r="GXW267" s="99" t="s">
        <v>1219</v>
      </c>
      <c r="GXX267" s="99" t="s">
        <v>1339</v>
      </c>
      <c r="GYB267" s="99" t="s">
        <v>1340</v>
      </c>
      <c r="HHR267" s="99" t="s">
        <v>1338</v>
      </c>
      <c r="HHS267" s="99" t="s">
        <v>1219</v>
      </c>
      <c r="HHT267" s="99" t="s">
        <v>1339</v>
      </c>
      <c r="HHX267" s="99" t="s">
        <v>1340</v>
      </c>
      <c r="HRN267" s="99" t="s">
        <v>1338</v>
      </c>
      <c r="HRO267" s="99" t="s">
        <v>1219</v>
      </c>
      <c r="HRP267" s="99" t="s">
        <v>1339</v>
      </c>
      <c r="HRT267" s="99" t="s">
        <v>1340</v>
      </c>
      <c r="IBJ267" s="99" t="s">
        <v>1338</v>
      </c>
      <c r="IBK267" s="99" t="s">
        <v>1219</v>
      </c>
      <c r="IBL267" s="99" t="s">
        <v>1339</v>
      </c>
      <c r="IBP267" s="99" t="s">
        <v>1340</v>
      </c>
      <c r="ILF267" s="99" t="s">
        <v>1338</v>
      </c>
      <c r="ILG267" s="99" t="s">
        <v>1219</v>
      </c>
      <c r="ILH267" s="99" t="s">
        <v>1339</v>
      </c>
      <c r="ILL267" s="99" t="s">
        <v>1340</v>
      </c>
      <c r="IVB267" s="99" t="s">
        <v>1338</v>
      </c>
      <c r="IVC267" s="99" t="s">
        <v>1219</v>
      </c>
      <c r="IVD267" s="99" t="s">
        <v>1339</v>
      </c>
      <c r="IVH267" s="99" t="s">
        <v>1340</v>
      </c>
      <c r="JEX267" s="99" t="s">
        <v>1338</v>
      </c>
      <c r="JEY267" s="99" t="s">
        <v>1219</v>
      </c>
      <c r="JEZ267" s="99" t="s">
        <v>1339</v>
      </c>
      <c r="JFD267" s="99" t="s">
        <v>1340</v>
      </c>
      <c r="JOT267" s="99" t="s">
        <v>1338</v>
      </c>
      <c r="JOU267" s="99" t="s">
        <v>1219</v>
      </c>
      <c r="JOV267" s="99" t="s">
        <v>1339</v>
      </c>
      <c r="JOZ267" s="99" t="s">
        <v>1340</v>
      </c>
      <c r="JYP267" s="99" t="s">
        <v>1338</v>
      </c>
      <c r="JYQ267" s="99" t="s">
        <v>1219</v>
      </c>
      <c r="JYR267" s="99" t="s">
        <v>1339</v>
      </c>
      <c r="JYV267" s="99" t="s">
        <v>1340</v>
      </c>
      <c r="KIL267" s="99" t="s">
        <v>1338</v>
      </c>
      <c r="KIM267" s="99" t="s">
        <v>1219</v>
      </c>
      <c r="KIN267" s="99" t="s">
        <v>1339</v>
      </c>
      <c r="KIR267" s="99" t="s">
        <v>1340</v>
      </c>
      <c r="KSH267" s="99" t="s">
        <v>1338</v>
      </c>
      <c r="KSI267" s="99" t="s">
        <v>1219</v>
      </c>
      <c r="KSJ267" s="99" t="s">
        <v>1339</v>
      </c>
      <c r="KSN267" s="99" t="s">
        <v>1340</v>
      </c>
      <c r="LCD267" s="99" t="s">
        <v>1338</v>
      </c>
      <c r="LCE267" s="99" t="s">
        <v>1219</v>
      </c>
      <c r="LCF267" s="99" t="s">
        <v>1339</v>
      </c>
      <c r="LCJ267" s="99" t="s">
        <v>1340</v>
      </c>
      <c r="LLZ267" s="99" t="s">
        <v>1338</v>
      </c>
      <c r="LMA267" s="99" t="s">
        <v>1219</v>
      </c>
      <c r="LMB267" s="99" t="s">
        <v>1339</v>
      </c>
      <c r="LMF267" s="99" t="s">
        <v>1340</v>
      </c>
      <c r="LVV267" s="99" t="s">
        <v>1338</v>
      </c>
      <c r="LVW267" s="99" t="s">
        <v>1219</v>
      </c>
      <c r="LVX267" s="99" t="s">
        <v>1339</v>
      </c>
      <c r="LWB267" s="99" t="s">
        <v>1340</v>
      </c>
      <c r="MFR267" s="99" t="s">
        <v>1338</v>
      </c>
      <c r="MFS267" s="99" t="s">
        <v>1219</v>
      </c>
      <c r="MFT267" s="99" t="s">
        <v>1339</v>
      </c>
      <c r="MFX267" s="99" t="s">
        <v>1340</v>
      </c>
      <c r="MPN267" s="99" t="s">
        <v>1338</v>
      </c>
      <c r="MPO267" s="99" t="s">
        <v>1219</v>
      </c>
      <c r="MPP267" s="99" t="s">
        <v>1339</v>
      </c>
      <c r="MPT267" s="99" t="s">
        <v>1340</v>
      </c>
      <c r="MZJ267" s="99" t="s">
        <v>1338</v>
      </c>
      <c r="MZK267" s="99" t="s">
        <v>1219</v>
      </c>
      <c r="MZL267" s="99" t="s">
        <v>1339</v>
      </c>
      <c r="MZP267" s="99" t="s">
        <v>1340</v>
      </c>
      <c r="NJF267" s="99" t="s">
        <v>1338</v>
      </c>
      <c r="NJG267" s="99" t="s">
        <v>1219</v>
      </c>
      <c r="NJH267" s="99" t="s">
        <v>1339</v>
      </c>
      <c r="NJL267" s="99" t="s">
        <v>1340</v>
      </c>
      <c r="NTB267" s="99" t="s">
        <v>1338</v>
      </c>
      <c r="NTC267" s="99" t="s">
        <v>1219</v>
      </c>
      <c r="NTD267" s="99" t="s">
        <v>1339</v>
      </c>
      <c r="NTH267" s="99" t="s">
        <v>1340</v>
      </c>
      <c r="OCX267" s="99" t="s">
        <v>1338</v>
      </c>
      <c r="OCY267" s="99" t="s">
        <v>1219</v>
      </c>
      <c r="OCZ267" s="99" t="s">
        <v>1339</v>
      </c>
      <c r="ODD267" s="99" t="s">
        <v>1340</v>
      </c>
      <c r="OMT267" s="99" t="s">
        <v>1338</v>
      </c>
      <c r="OMU267" s="99" t="s">
        <v>1219</v>
      </c>
      <c r="OMV267" s="99" t="s">
        <v>1339</v>
      </c>
      <c r="OMZ267" s="99" t="s">
        <v>1340</v>
      </c>
      <c r="OWP267" s="99" t="s">
        <v>1338</v>
      </c>
      <c r="OWQ267" s="99" t="s">
        <v>1219</v>
      </c>
      <c r="OWR267" s="99" t="s">
        <v>1339</v>
      </c>
      <c r="OWV267" s="99" t="s">
        <v>1340</v>
      </c>
      <c r="PGL267" s="99" t="s">
        <v>1338</v>
      </c>
      <c r="PGM267" s="99" t="s">
        <v>1219</v>
      </c>
      <c r="PGN267" s="99" t="s">
        <v>1339</v>
      </c>
      <c r="PGR267" s="99" t="s">
        <v>1340</v>
      </c>
      <c r="PQH267" s="99" t="s">
        <v>1338</v>
      </c>
      <c r="PQI267" s="99" t="s">
        <v>1219</v>
      </c>
      <c r="PQJ267" s="99" t="s">
        <v>1339</v>
      </c>
      <c r="PQN267" s="99" t="s">
        <v>1340</v>
      </c>
      <c r="QAD267" s="99" t="s">
        <v>1338</v>
      </c>
      <c r="QAE267" s="99" t="s">
        <v>1219</v>
      </c>
      <c r="QAF267" s="99" t="s">
        <v>1339</v>
      </c>
      <c r="QAJ267" s="99" t="s">
        <v>1340</v>
      </c>
      <c r="QJZ267" s="99" t="s">
        <v>1338</v>
      </c>
      <c r="QKA267" s="99" t="s">
        <v>1219</v>
      </c>
      <c r="QKB267" s="99" t="s">
        <v>1339</v>
      </c>
      <c r="QKF267" s="99" t="s">
        <v>1340</v>
      </c>
      <c r="QTV267" s="99" t="s">
        <v>1338</v>
      </c>
      <c r="QTW267" s="99" t="s">
        <v>1219</v>
      </c>
      <c r="QTX267" s="99" t="s">
        <v>1339</v>
      </c>
      <c r="QUB267" s="99" t="s">
        <v>1340</v>
      </c>
      <c r="RDR267" s="99" t="s">
        <v>1338</v>
      </c>
      <c r="RDS267" s="99" t="s">
        <v>1219</v>
      </c>
      <c r="RDT267" s="99" t="s">
        <v>1339</v>
      </c>
      <c r="RDX267" s="99" t="s">
        <v>1340</v>
      </c>
      <c r="RNN267" s="99" t="s">
        <v>1338</v>
      </c>
      <c r="RNO267" s="99" t="s">
        <v>1219</v>
      </c>
      <c r="RNP267" s="99" t="s">
        <v>1339</v>
      </c>
      <c r="RNT267" s="99" t="s">
        <v>1340</v>
      </c>
      <c r="RXJ267" s="99" t="s">
        <v>1338</v>
      </c>
      <c r="RXK267" s="99" t="s">
        <v>1219</v>
      </c>
      <c r="RXL267" s="99" t="s">
        <v>1339</v>
      </c>
      <c r="RXP267" s="99" t="s">
        <v>1340</v>
      </c>
      <c r="SHF267" s="99" t="s">
        <v>1338</v>
      </c>
      <c r="SHG267" s="99" t="s">
        <v>1219</v>
      </c>
      <c r="SHH267" s="99" t="s">
        <v>1339</v>
      </c>
      <c r="SHL267" s="99" t="s">
        <v>1340</v>
      </c>
      <c r="SRB267" s="99" t="s">
        <v>1338</v>
      </c>
      <c r="SRC267" s="99" t="s">
        <v>1219</v>
      </c>
      <c r="SRD267" s="99" t="s">
        <v>1339</v>
      </c>
      <c r="SRH267" s="99" t="s">
        <v>1340</v>
      </c>
      <c r="TAX267" s="99" t="s">
        <v>1338</v>
      </c>
      <c r="TAY267" s="99" t="s">
        <v>1219</v>
      </c>
      <c r="TAZ267" s="99" t="s">
        <v>1339</v>
      </c>
      <c r="TBD267" s="99" t="s">
        <v>1340</v>
      </c>
      <c r="TKT267" s="99" t="s">
        <v>1338</v>
      </c>
      <c r="TKU267" s="99" t="s">
        <v>1219</v>
      </c>
      <c r="TKV267" s="99" t="s">
        <v>1339</v>
      </c>
      <c r="TKZ267" s="99" t="s">
        <v>1340</v>
      </c>
      <c r="TUP267" s="99" t="s">
        <v>1338</v>
      </c>
      <c r="TUQ267" s="99" t="s">
        <v>1219</v>
      </c>
      <c r="TUR267" s="99" t="s">
        <v>1339</v>
      </c>
      <c r="TUV267" s="99" t="s">
        <v>1340</v>
      </c>
      <c r="UEL267" s="99" t="s">
        <v>1338</v>
      </c>
      <c r="UEM267" s="99" t="s">
        <v>1219</v>
      </c>
      <c r="UEN267" s="99" t="s">
        <v>1339</v>
      </c>
      <c r="UER267" s="99" t="s">
        <v>1340</v>
      </c>
      <c r="UOH267" s="99" t="s">
        <v>1338</v>
      </c>
      <c r="UOI267" s="99" t="s">
        <v>1219</v>
      </c>
      <c r="UOJ267" s="99" t="s">
        <v>1339</v>
      </c>
      <c r="UON267" s="99" t="s">
        <v>1340</v>
      </c>
      <c r="UYD267" s="99" t="s">
        <v>1338</v>
      </c>
      <c r="UYE267" s="99" t="s">
        <v>1219</v>
      </c>
      <c r="UYF267" s="99" t="s">
        <v>1339</v>
      </c>
      <c r="UYJ267" s="99" t="s">
        <v>1340</v>
      </c>
      <c r="VHZ267" s="99" t="s">
        <v>1338</v>
      </c>
      <c r="VIA267" s="99" t="s">
        <v>1219</v>
      </c>
      <c r="VIB267" s="99" t="s">
        <v>1339</v>
      </c>
      <c r="VIF267" s="99" t="s">
        <v>1340</v>
      </c>
      <c r="VRV267" s="99" t="s">
        <v>1338</v>
      </c>
      <c r="VRW267" s="99" t="s">
        <v>1219</v>
      </c>
      <c r="VRX267" s="99" t="s">
        <v>1339</v>
      </c>
      <c r="VSB267" s="99" t="s">
        <v>1340</v>
      </c>
      <c r="WBR267" s="99" t="s">
        <v>1338</v>
      </c>
      <c r="WBS267" s="99" t="s">
        <v>1219</v>
      </c>
      <c r="WBT267" s="99" t="s">
        <v>1339</v>
      </c>
      <c r="WBX267" s="99" t="s">
        <v>1340</v>
      </c>
      <c r="WLN267" s="99" t="s">
        <v>1338</v>
      </c>
      <c r="WLO267" s="99" t="s">
        <v>1219</v>
      </c>
      <c r="WLP267" s="99" t="s">
        <v>1339</v>
      </c>
      <c r="WLT267" s="99" t="s">
        <v>1340</v>
      </c>
      <c r="WVJ267" s="99" t="s">
        <v>1338</v>
      </c>
      <c r="WVK267" s="99" t="s">
        <v>1219</v>
      </c>
      <c r="WVL267" s="99" t="s">
        <v>1339</v>
      </c>
      <c r="WVP267" s="99" t="s">
        <v>1340</v>
      </c>
    </row>
    <row r="268" spans="1:777 1026:1801 2050:2825 3074:3849 4098:4873 5122:5897 6146:6921 7170:7945 8194:8969 9218:9993 10242:11017 11266:12041 12290:13065 13314:14089 14338:15113 15362:16137" ht="13.8" thickBot="1">
      <c r="A268" s="2255"/>
      <c r="B268" s="2255"/>
      <c r="C268" s="1139" t="s">
        <v>1341</v>
      </c>
      <c r="D268" s="1746"/>
      <c r="E268" s="1244"/>
      <c r="F268" s="1139"/>
      <c r="G268" s="1139"/>
      <c r="H268" s="1139" t="s">
        <v>1340</v>
      </c>
      <c r="I268" s="1132"/>
      <c r="IZ268" s="99" t="s">
        <v>1341</v>
      </c>
      <c r="JD268" s="99" t="s">
        <v>1340</v>
      </c>
      <c r="SV268" s="99" t="s">
        <v>1341</v>
      </c>
      <c r="SZ268" s="99" t="s">
        <v>1340</v>
      </c>
      <c r="ACR268" s="99" t="s">
        <v>1341</v>
      </c>
      <c r="ACV268" s="99" t="s">
        <v>1340</v>
      </c>
      <c r="AMN268" s="99" t="s">
        <v>1341</v>
      </c>
      <c r="AMR268" s="99" t="s">
        <v>1340</v>
      </c>
      <c r="AWJ268" s="99" t="s">
        <v>1341</v>
      </c>
      <c r="AWN268" s="99" t="s">
        <v>1340</v>
      </c>
      <c r="BGF268" s="99" t="s">
        <v>1341</v>
      </c>
      <c r="BGJ268" s="99" t="s">
        <v>1340</v>
      </c>
      <c r="BQB268" s="99" t="s">
        <v>1341</v>
      </c>
      <c r="BQF268" s="99" t="s">
        <v>1340</v>
      </c>
      <c r="BZX268" s="99" t="s">
        <v>1341</v>
      </c>
      <c r="CAB268" s="99" t="s">
        <v>1340</v>
      </c>
      <c r="CJT268" s="99" t="s">
        <v>1341</v>
      </c>
      <c r="CJX268" s="99" t="s">
        <v>1340</v>
      </c>
      <c r="CTP268" s="99" t="s">
        <v>1341</v>
      </c>
      <c r="CTT268" s="99" t="s">
        <v>1340</v>
      </c>
      <c r="DDL268" s="99" t="s">
        <v>1341</v>
      </c>
      <c r="DDP268" s="99" t="s">
        <v>1340</v>
      </c>
      <c r="DNH268" s="99" t="s">
        <v>1341</v>
      </c>
      <c r="DNL268" s="99" t="s">
        <v>1340</v>
      </c>
      <c r="DXD268" s="99" t="s">
        <v>1341</v>
      </c>
      <c r="DXH268" s="99" t="s">
        <v>1340</v>
      </c>
      <c r="EGZ268" s="99" t="s">
        <v>1341</v>
      </c>
      <c r="EHD268" s="99" t="s">
        <v>1340</v>
      </c>
      <c r="EQV268" s="99" t="s">
        <v>1341</v>
      </c>
      <c r="EQZ268" s="99" t="s">
        <v>1340</v>
      </c>
      <c r="FAR268" s="99" t="s">
        <v>1341</v>
      </c>
      <c r="FAV268" s="99" t="s">
        <v>1340</v>
      </c>
      <c r="FKN268" s="99" t="s">
        <v>1341</v>
      </c>
      <c r="FKR268" s="99" t="s">
        <v>1340</v>
      </c>
      <c r="FUJ268" s="99" t="s">
        <v>1341</v>
      </c>
      <c r="FUN268" s="99" t="s">
        <v>1340</v>
      </c>
      <c r="GEF268" s="99" t="s">
        <v>1341</v>
      </c>
      <c r="GEJ268" s="99" t="s">
        <v>1340</v>
      </c>
      <c r="GOB268" s="99" t="s">
        <v>1341</v>
      </c>
      <c r="GOF268" s="99" t="s">
        <v>1340</v>
      </c>
      <c r="GXX268" s="99" t="s">
        <v>1341</v>
      </c>
      <c r="GYB268" s="99" t="s">
        <v>1340</v>
      </c>
      <c r="HHT268" s="99" t="s">
        <v>1341</v>
      </c>
      <c r="HHX268" s="99" t="s">
        <v>1340</v>
      </c>
      <c r="HRP268" s="99" t="s">
        <v>1341</v>
      </c>
      <c r="HRT268" s="99" t="s">
        <v>1340</v>
      </c>
      <c r="IBL268" s="99" t="s">
        <v>1341</v>
      </c>
      <c r="IBP268" s="99" t="s">
        <v>1340</v>
      </c>
      <c r="ILH268" s="99" t="s">
        <v>1341</v>
      </c>
      <c r="ILL268" s="99" t="s">
        <v>1340</v>
      </c>
      <c r="IVD268" s="99" t="s">
        <v>1341</v>
      </c>
      <c r="IVH268" s="99" t="s">
        <v>1340</v>
      </c>
      <c r="JEZ268" s="99" t="s">
        <v>1341</v>
      </c>
      <c r="JFD268" s="99" t="s">
        <v>1340</v>
      </c>
      <c r="JOV268" s="99" t="s">
        <v>1341</v>
      </c>
      <c r="JOZ268" s="99" t="s">
        <v>1340</v>
      </c>
      <c r="JYR268" s="99" t="s">
        <v>1341</v>
      </c>
      <c r="JYV268" s="99" t="s">
        <v>1340</v>
      </c>
      <c r="KIN268" s="99" t="s">
        <v>1341</v>
      </c>
      <c r="KIR268" s="99" t="s">
        <v>1340</v>
      </c>
      <c r="KSJ268" s="99" t="s">
        <v>1341</v>
      </c>
      <c r="KSN268" s="99" t="s">
        <v>1340</v>
      </c>
      <c r="LCF268" s="99" t="s">
        <v>1341</v>
      </c>
      <c r="LCJ268" s="99" t="s">
        <v>1340</v>
      </c>
      <c r="LMB268" s="99" t="s">
        <v>1341</v>
      </c>
      <c r="LMF268" s="99" t="s">
        <v>1340</v>
      </c>
      <c r="LVX268" s="99" t="s">
        <v>1341</v>
      </c>
      <c r="LWB268" s="99" t="s">
        <v>1340</v>
      </c>
      <c r="MFT268" s="99" t="s">
        <v>1341</v>
      </c>
      <c r="MFX268" s="99" t="s">
        <v>1340</v>
      </c>
      <c r="MPP268" s="99" t="s">
        <v>1341</v>
      </c>
      <c r="MPT268" s="99" t="s">
        <v>1340</v>
      </c>
      <c r="MZL268" s="99" t="s">
        <v>1341</v>
      </c>
      <c r="MZP268" s="99" t="s">
        <v>1340</v>
      </c>
      <c r="NJH268" s="99" t="s">
        <v>1341</v>
      </c>
      <c r="NJL268" s="99" t="s">
        <v>1340</v>
      </c>
      <c r="NTD268" s="99" t="s">
        <v>1341</v>
      </c>
      <c r="NTH268" s="99" t="s">
        <v>1340</v>
      </c>
      <c r="OCZ268" s="99" t="s">
        <v>1341</v>
      </c>
      <c r="ODD268" s="99" t="s">
        <v>1340</v>
      </c>
      <c r="OMV268" s="99" t="s">
        <v>1341</v>
      </c>
      <c r="OMZ268" s="99" t="s">
        <v>1340</v>
      </c>
      <c r="OWR268" s="99" t="s">
        <v>1341</v>
      </c>
      <c r="OWV268" s="99" t="s">
        <v>1340</v>
      </c>
      <c r="PGN268" s="99" t="s">
        <v>1341</v>
      </c>
      <c r="PGR268" s="99" t="s">
        <v>1340</v>
      </c>
      <c r="PQJ268" s="99" t="s">
        <v>1341</v>
      </c>
      <c r="PQN268" s="99" t="s">
        <v>1340</v>
      </c>
      <c r="QAF268" s="99" t="s">
        <v>1341</v>
      </c>
      <c r="QAJ268" s="99" t="s">
        <v>1340</v>
      </c>
      <c r="QKB268" s="99" t="s">
        <v>1341</v>
      </c>
      <c r="QKF268" s="99" t="s">
        <v>1340</v>
      </c>
      <c r="QTX268" s="99" t="s">
        <v>1341</v>
      </c>
      <c r="QUB268" s="99" t="s">
        <v>1340</v>
      </c>
      <c r="RDT268" s="99" t="s">
        <v>1341</v>
      </c>
      <c r="RDX268" s="99" t="s">
        <v>1340</v>
      </c>
      <c r="RNP268" s="99" t="s">
        <v>1341</v>
      </c>
      <c r="RNT268" s="99" t="s">
        <v>1340</v>
      </c>
      <c r="RXL268" s="99" t="s">
        <v>1341</v>
      </c>
      <c r="RXP268" s="99" t="s">
        <v>1340</v>
      </c>
      <c r="SHH268" s="99" t="s">
        <v>1341</v>
      </c>
      <c r="SHL268" s="99" t="s">
        <v>1340</v>
      </c>
      <c r="SRD268" s="99" t="s">
        <v>1341</v>
      </c>
      <c r="SRH268" s="99" t="s">
        <v>1340</v>
      </c>
      <c r="TAZ268" s="99" t="s">
        <v>1341</v>
      </c>
      <c r="TBD268" s="99" t="s">
        <v>1340</v>
      </c>
      <c r="TKV268" s="99" t="s">
        <v>1341</v>
      </c>
      <c r="TKZ268" s="99" t="s">
        <v>1340</v>
      </c>
      <c r="TUR268" s="99" t="s">
        <v>1341</v>
      </c>
      <c r="TUV268" s="99" t="s">
        <v>1340</v>
      </c>
      <c r="UEN268" s="99" t="s">
        <v>1341</v>
      </c>
      <c r="UER268" s="99" t="s">
        <v>1340</v>
      </c>
      <c r="UOJ268" s="99" t="s">
        <v>1341</v>
      </c>
      <c r="UON268" s="99" t="s">
        <v>1340</v>
      </c>
      <c r="UYF268" s="99" t="s">
        <v>1341</v>
      </c>
      <c r="UYJ268" s="99" t="s">
        <v>1340</v>
      </c>
      <c r="VIB268" s="99" t="s">
        <v>1341</v>
      </c>
      <c r="VIF268" s="99" t="s">
        <v>1340</v>
      </c>
      <c r="VRX268" s="99" t="s">
        <v>1341</v>
      </c>
      <c r="VSB268" s="99" t="s">
        <v>1340</v>
      </c>
      <c r="WBT268" s="99" t="s">
        <v>1341</v>
      </c>
      <c r="WBX268" s="99" t="s">
        <v>1340</v>
      </c>
      <c r="WLP268" s="99" t="s">
        <v>1341</v>
      </c>
      <c r="WLT268" s="99" t="s">
        <v>1340</v>
      </c>
      <c r="WVL268" s="99" t="s">
        <v>1341</v>
      </c>
      <c r="WVP268" s="99" t="s">
        <v>1340</v>
      </c>
    </row>
    <row r="269" spans="1:777 1026:1801 2050:2825 3074:3849 4098:4873 5122:5897 6146:6921 7170:7945 8194:8969 9218:9993 10242:11017 11266:12041 12290:13065 13314:14089 14338:15113 15362:16137" ht="13.8" thickBot="1">
      <c r="A269" s="2242" t="s">
        <v>1230</v>
      </c>
      <c r="B269" s="2243"/>
      <c r="C269" s="2243"/>
      <c r="D269" s="2243"/>
      <c r="E269" s="1120">
        <f>SUM(E267:E268)</f>
        <v>0</v>
      </c>
      <c r="F269" s="1145"/>
      <c r="G269" s="1145"/>
      <c r="H269" s="1145"/>
      <c r="I269" s="523">
        <f>SUM(I267:I268)</f>
        <v>0</v>
      </c>
      <c r="IX269" s="99" t="s">
        <v>1230</v>
      </c>
      <c r="ST269" s="99" t="s">
        <v>1230</v>
      </c>
      <c r="ACP269" s="99" t="s">
        <v>1230</v>
      </c>
      <c r="AML269" s="99" t="s">
        <v>1230</v>
      </c>
      <c r="AWH269" s="99" t="s">
        <v>1230</v>
      </c>
      <c r="BGD269" s="99" t="s">
        <v>1230</v>
      </c>
      <c r="BPZ269" s="99" t="s">
        <v>1230</v>
      </c>
      <c r="BZV269" s="99" t="s">
        <v>1230</v>
      </c>
      <c r="CJR269" s="99" t="s">
        <v>1230</v>
      </c>
      <c r="CTN269" s="99" t="s">
        <v>1230</v>
      </c>
      <c r="DDJ269" s="99" t="s">
        <v>1230</v>
      </c>
      <c r="DNF269" s="99" t="s">
        <v>1230</v>
      </c>
      <c r="DXB269" s="99" t="s">
        <v>1230</v>
      </c>
      <c r="EGX269" s="99" t="s">
        <v>1230</v>
      </c>
      <c r="EQT269" s="99" t="s">
        <v>1230</v>
      </c>
      <c r="FAP269" s="99" t="s">
        <v>1230</v>
      </c>
      <c r="FKL269" s="99" t="s">
        <v>1230</v>
      </c>
      <c r="FUH269" s="99" t="s">
        <v>1230</v>
      </c>
      <c r="GED269" s="99" t="s">
        <v>1230</v>
      </c>
      <c r="GNZ269" s="99" t="s">
        <v>1230</v>
      </c>
      <c r="GXV269" s="99" t="s">
        <v>1230</v>
      </c>
      <c r="HHR269" s="99" t="s">
        <v>1230</v>
      </c>
      <c r="HRN269" s="99" t="s">
        <v>1230</v>
      </c>
      <c r="IBJ269" s="99" t="s">
        <v>1230</v>
      </c>
      <c r="ILF269" s="99" t="s">
        <v>1230</v>
      </c>
      <c r="IVB269" s="99" t="s">
        <v>1230</v>
      </c>
      <c r="JEX269" s="99" t="s">
        <v>1230</v>
      </c>
      <c r="JOT269" s="99" t="s">
        <v>1230</v>
      </c>
      <c r="JYP269" s="99" t="s">
        <v>1230</v>
      </c>
      <c r="KIL269" s="99" t="s">
        <v>1230</v>
      </c>
      <c r="KSH269" s="99" t="s">
        <v>1230</v>
      </c>
      <c r="LCD269" s="99" t="s">
        <v>1230</v>
      </c>
      <c r="LLZ269" s="99" t="s">
        <v>1230</v>
      </c>
      <c r="LVV269" s="99" t="s">
        <v>1230</v>
      </c>
      <c r="MFR269" s="99" t="s">
        <v>1230</v>
      </c>
      <c r="MPN269" s="99" t="s">
        <v>1230</v>
      </c>
      <c r="MZJ269" s="99" t="s">
        <v>1230</v>
      </c>
      <c r="NJF269" s="99" t="s">
        <v>1230</v>
      </c>
      <c r="NTB269" s="99" t="s">
        <v>1230</v>
      </c>
      <c r="OCX269" s="99" t="s">
        <v>1230</v>
      </c>
      <c r="OMT269" s="99" t="s">
        <v>1230</v>
      </c>
      <c r="OWP269" s="99" t="s">
        <v>1230</v>
      </c>
      <c r="PGL269" s="99" t="s">
        <v>1230</v>
      </c>
      <c r="PQH269" s="99" t="s">
        <v>1230</v>
      </c>
      <c r="QAD269" s="99" t="s">
        <v>1230</v>
      </c>
      <c r="QJZ269" s="99" t="s">
        <v>1230</v>
      </c>
      <c r="QTV269" s="99" t="s">
        <v>1230</v>
      </c>
      <c r="RDR269" s="99" t="s">
        <v>1230</v>
      </c>
      <c r="RNN269" s="99" t="s">
        <v>1230</v>
      </c>
      <c r="RXJ269" s="99" t="s">
        <v>1230</v>
      </c>
      <c r="SHF269" s="99" t="s">
        <v>1230</v>
      </c>
      <c r="SRB269" s="99" t="s">
        <v>1230</v>
      </c>
      <c r="TAX269" s="99" t="s">
        <v>1230</v>
      </c>
      <c r="TKT269" s="99" t="s">
        <v>1230</v>
      </c>
      <c r="TUP269" s="99" t="s">
        <v>1230</v>
      </c>
      <c r="UEL269" s="99" t="s">
        <v>1230</v>
      </c>
      <c r="UOH269" s="99" t="s">
        <v>1230</v>
      </c>
      <c r="UYD269" s="99" t="s">
        <v>1230</v>
      </c>
      <c r="VHZ269" s="99" t="s">
        <v>1230</v>
      </c>
      <c r="VRV269" s="99" t="s">
        <v>1230</v>
      </c>
      <c r="WBR269" s="99" t="s">
        <v>1230</v>
      </c>
      <c r="WLN269" s="99" t="s">
        <v>1230</v>
      </c>
      <c r="WVJ269" s="99" t="s">
        <v>1230</v>
      </c>
    </row>
    <row r="270" spans="1:777 1026:1801 2050:2825 3074:3849 4098:4873 5122:5897 6146:6921 7170:7945 8194:8969 9218:9993 10242:11017 11266:12041 12290:13065 13314:14089 14338:15113 15362:16137" ht="13.8" thickBot="1">
      <c r="A270" s="2253" t="s">
        <v>1342</v>
      </c>
      <c r="B270" s="2253" t="s">
        <v>1219</v>
      </c>
      <c r="C270" s="1139" t="s">
        <v>1339</v>
      </c>
      <c r="D270" s="1746"/>
      <c r="E270" s="1244"/>
      <c r="F270" s="1131"/>
      <c r="G270" s="1131"/>
      <c r="H270" s="1139" t="s">
        <v>1340</v>
      </c>
      <c r="I270" s="1116"/>
      <c r="IX270" s="99" t="s">
        <v>1342</v>
      </c>
      <c r="IY270" s="99" t="s">
        <v>1219</v>
      </c>
      <c r="IZ270" s="99" t="s">
        <v>1339</v>
      </c>
      <c r="JD270" s="99" t="s">
        <v>1340</v>
      </c>
      <c r="ST270" s="99" t="s">
        <v>1342</v>
      </c>
      <c r="SU270" s="99" t="s">
        <v>1219</v>
      </c>
      <c r="SV270" s="99" t="s">
        <v>1339</v>
      </c>
      <c r="SZ270" s="99" t="s">
        <v>1340</v>
      </c>
      <c r="ACP270" s="99" t="s">
        <v>1342</v>
      </c>
      <c r="ACQ270" s="99" t="s">
        <v>1219</v>
      </c>
      <c r="ACR270" s="99" t="s">
        <v>1339</v>
      </c>
      <c r="ACV270" s="99" t="s">
        <v>1340</v>
      </c>
      <c r="AML270" s="99" t="s">
        <v>1342</v>
      </c>
      <c r="AMM270" s="99" t="s">
        <v>1219</v>
      </c>
      <c r="AMN270" s="99" t="s">
        <v>1339</v>
      </c>
      <c r="AMR270" s="99" t="s">
        <v>1340</v>
      </c>
      <c r="AWH270" s="99" t="s">
        <v>1342</v>
      </c>
      <c r="AWI270" s="99" t="s">
        <v>1219</v>
      </c>
      <c r="AWJ270" s="99" t="s">
        <v>1339</v>
      </c>
      <c r="AWN270" s="99" t="s">
        <v>1340</v>
      </c>
      <c r="BGD270" s="99" t="s">
        <v>1342</v>
      </c>
      <c r="BGE270" s="99" t="s">
        <v>1219</v>
      </c>
      <c r="BGF270" s="99" t="s">
        <v>1339</v>
      </c>
      <c r="BGJ270" s="99" t="s">
        <v>1340</v>
      </c>
      <c r="BPZ270" s="99" t="s">
        <v>1342</v>
      </c>
      <c r="BQA270" s="99" t="s">
        <v>1219</v>
      </c>
      <c r="BQB270" s="99" t="s">
        <v>1339</v>
      </c>
      <c r="BQF270" s="99" t="s">
        <v>1340</v>
      </c>
      <c r="BZV270" s="99" t="s">
        <v>1342</v>
      </c>
      <c r="BZW270" s="99" t="s">
        <v>1219</v>
      </c>
      <c r="BZX270" s="99" t="s">
        <v>1339</v>
      </c>
      <c r="CAB270" s="99" t="s">
        <v>1340</v>
      </c>
      <c r="CJR270" s="99" t="s">
        <v>1342</v>
      </c>
      <c r="CJS270" s="99" t="s">
        <v>1219</v>
      </c>
      <c r="CJT270" s="99" t="s">
        <v>1339</v>
      </c>
      <c r="CJX270" s="99" t="s">
        <v>1340</v>
      </c>
      <c r="CTN270" s="99" t="s">
        <v>1342</v>
      </c>
      <c r="CTO270" s="99" t="s">
        <v>1219</v>
      </c>
      <c r="CTP270" s="99" t="s">
        <v>1339</v>
      </c>
      <c r="CTT270" s="99" t="s">
        <v>1340</v>
      </c>
      <c r="DDJ270" s="99" t="s">
        <v>1342</v>
      </c>
      <c r="DDK270" s="99" t="s">
        <v>1219</v>
      </c>
      <c r="DDL270" s="99" t="s">
        <v>1339</v>
      </c>
      <c r="DDP270" s="99" t="s">
        <v>1340</v>
      </c>
      <c r="DNF270" s="99" t="s">
        <v>1342</v>
      </c>
      <c r="DNG270" s="99" t="s">
        <v>1219</v>
      </c>
      <c r="DNH270" s="99" t="s">
        <v>1339</v>
      </c>
      <c r="DNL270" s="99" t="s">
        <v>1340</v>
      </c>
      <c r="DXB270" s="99" t="s">
        <v>1342</v>
      </c>
      <c r="DXC270" s="99" t="s">
        <v>1219</v>
      </c>
      <c r="DXD270" s="99" t="s">
        <v>1339</v>
      </c>
      <c r="DXH270" s="99" t="s">
        <v>1340</v>
      </c>
      <c r="EGX270" s="99" t="s">
        <v>1342</v>
      </c>
      <c r="EGY270" s="99" t="s">
        <v>1219</v>
      </c>
      <c r="EGZ270" s="99" t="s">
        <v>1339</v>
      </c>
      <c r="EHD270" s="99" t="s">
        <v>1340</v>
      </c>
      <c r="EQT270" s="99" t="s">
        <v>1342</v>
      </c>
      <c r="EQU270" s="99" t="s">
        <v>1219</v>
      </c>
      <c r="EQV270" s="99" t="s">
        <v>1339</v>
      </c>
      <c r="EQZ270" s="99" t="s">
        <v>1340</v>
      </c>
      <c r="FAP270" s="99" t="s">
        <v>1342</v>
      </c>
      <c r="FAQ270" s="99" t="s">
        <v>1219</v>
      </c>
      <c r="FAR270" s="99" t="s">
        <v>1339</v>
      </c>
      <c r="FAV270" s="99" t="s">
        <v>1340</v>
      </c>
      <c r="FKL270" s="99" t="s">
        <v>1342</v>
      </c>
      <c r="FKM270" s="99" t="s">
        <v>1219</v>
      </c>
      <c r="FKN270" s="99" t="s">
        <v>1339</v>
      </c>
      <c r="FKR270" s="99" t="s">
        <v>1340</v>
      </c>
      <c r="FUH270" s="99" t="s">
        <v>1342</v>
      </c>
      <c r="FUI270" s="99" t="s">
        <v>1219</v>
      </c>
      <c r="FUJ270" s="99" t="s">
        <v>1339</v>
      </c>
      <c r="FUN270" s="99" t="s">
        <v>1340</v>
      </c>
      <c r="GED270" s="99" t="s">
        <v>1342</v>
      </c>
      <c r="GEE270" s="99" t="s">
        <v>1219</v>
      </c>
      <c r="GEF270" s="99" t="s">
        <v>1339</v>
      </c>
      <c r="GEJ270" s="99" t="s">
        <v>1340</v>
      </c>
      <c r="GNZ270" s="99" t="s">
        <v>1342</v>
      </c>
      <c r="GOA270" s="99" t="s">
        <v>1219</v>
      </c>
      <c r="GOB270" s="99" t="s">
        <v>1339</v>
      </c>
      <c r="GOF270" s="99" t="s">
        <v>1340</v>
      </c>
      <c r="GXV270" s="99" t="s">
        <v>1342</v>
      </c>
      <c r="GXW270" s="99" t="s">
        <v>1219</v>
      </c>
      <c r="GXX270" s="99" t="s">
        <v>1339</v>
      </c>
      <c r="GYB270" s="99" t="s">
        <v>1340</v>
      </c>
      <c r="HHR270" s="99" t="s">
        <v>1342</v>
      </c>
      <c r="HHS270" s="99" t="s">
        <v>1219</v>
      </c>
      <c r="HHT270" s="99" t="s">
        <v>1339</v>
      </c>
      <c r="HHX270" s="99" t="s">
        <v>1340</v>
      </c>
      <c r="HRN270" s="99" t="s">
        <v>1342</v>
      </c>
      <c r="HRO270" s="99" t="s">
        <v>1219</v>
      </c>
      <c r="HRP270" s="99" t="s">
        <v>1339</v>
      </c>
      <c r="HRT270" s="99" t="s">
        <v>1340</v>
      </c>
      <c r="IBJ270" s="99" t="s">
        <v>1342</v>
      </c>
      <c r="IBK270" s="99" t="s">
        <v>1219</v>
      </c>
      <c r="IBL270" s="99" t="s">
        <v>1339</v>
      </c>
      <c r="IBP270" s="99" t="s">
        <v>1340</v>
      </c>
      <c r="ILF270" s="99" t="s">
        <v>1342</v>
      </c>
      <c r="ILG270" s="99" t="s">
        <v>1219</v>
      </c>
      <c r="ILH270" s="99" t="s">
        <v>1339</v>
      </c>
      <c r="ILL270" s="99" t="s">
        <v>1340</v>
      </c>
      <c r="IVB270" s="99" t="s">
        <v>1342</v>
      </c>
      <c r="IVC270" s="99" t="s">
        <v>1219</v>
      </c>
      <c r="IVD270" s="99" t="s">
        <v>1339</v>
      </c>
      <c r="IVH270" s="99" t="s">
        <v>1340</v>
      </c>
      <c r="JEX270" s="99" t="s">
        <v>1342</v>
      </c>
      <c r="JEY270" s="99" t="s">
        <v>1219</v>
      </c>
      <c r="JEZ270" s="99" t="s">
        <v>1339</v>
      </c>
      <c r="JFD270" s="99" t="s">
        <v>1340</v>
      </c>
      <c r="JOT270" s="99" t="s">
        <v>1342</v>
      </c>
      <c r="JOU270" s="99" t="s">
        <v>1219</v>
      </c>
      <c r="JOV270" s="99" t="s">
        <v>1339</v>
      </c>
      <c r="JOZ270" s="99" t="s">
        <v>1340</v>
      </c>
      <c r="JYP270" s="99" t="s">
        <v>1342</v>
      </c>
      <c r="JYQ270" s="99" t="s">
        <v>1219</v>
      </c>
      <c r="JYR270" s="99" t="s">
        <v>1339</v>
      </c>
      <c r="JYV270" s="99" t="s">
        <v>1340</v>
      </c>
      <c r="KIL270" s="99" t="s">
        <v>1342</v>
      </c>
      <c r="KIM270" s="99" t="s">
        <v>1219</v>
      </c>
      <c r="KIN270" s="99" t="s">
        <v>1339</v>
      </c>
      <c r="KIR270" s="99" t="s">
        <v>1340</v>
      </c>
      <c r="KSH270" s="99" t="s">
        <v>1342</v>
      </c>
      <c r="KSI270" s="99" t="s">
        <v>1219</v>
      </c>
      <c r="KSJ270" s="99" t="s">
        <v>1339</v>
      </c>
      <c r="KSN270" s="99" t="s">
        <v>1340</v>
      </c>
      <c r="LCD270" s="99" t="s">
        <v>1342</v>
      </c>
      <c r="LCE270" s="99" t="s">
        <v>1219</v>
      </c>
      <c r="LCF270" s="99" t="s">
        <v>1339</v>
      </c>
      <c r="LCJ270" s="99" t="s">
        <v>1340</v>
      </c>
      <c r="LLZ270" s="99" t="s">
        <v>1342</v>
      </c>
      <c r="LMA270" s="99" t="s">
        <v>1219</v>
      </c>
      <c r="LMB270" s="99" t="s">
        <v>1339</v>
      </c>
      <c r="LMF270" s="99" t="s">
        <v>1340</v>
      </c>
      <c r="LVV270" s="99" t="s">
        <v>1342</v>
      </c>
      <c r="LVW270" s="99" t="s">
        <v>1219</v>
      </c>
      <c r="LVX270" s="99" t="s">
        <v>1339</v>
      </c>
      <c r="LWB270" s="99" t="s">
        <v>1340</v>
      </c>
      <c r="MFR270" s="99" t="s">
        <v>1342</v>
      </c>
      <c r="MFS270" s="99" t="s">
        <v>1219</v>
      </c>
      <c r="MFT270" s="99" t="s">
        <v>1339</v>
      </c>
      <c r="MFX270" s="99" t="s">
        <v>1340</v>
      </c>
      <c r="MPN270" s="99" t="s">
        <v>1342</v>
      </c>
      <c r="MPO270" s="99" t="s">
        <v>1219</v>
      </c>
      <c r="MPP270" s="99" t="s">
        <v>1339</v>
      </c>
      <c r="MPT270" s="99" t="s">
        <v>1340</v>
      </c>
      <c r="MZJ270" s="99" t="s">
        <v>1342</v>
      </c>
      <c r="MZK270" s="99" t="s">
        <v>1219</v>
      </c>
      <c r="MZL270" s="99" t="s">
        <v>1339</v>
      </c>
      <c r="MZP270" s="99" t="s">
        <v>1340</v>
      </c>
      <c r="NJF270" s="99" t="s">
        <v>1342</v>
      </c>
      <c r="NJG270" s="99" t="s">
        <v>1219</v>
      </c>
      <c r="NJH270" s="99" t="s">
        <v>1339</v>
      </c>
      <c r="NJL270" s="99" t="s">
        <v>1340</v>
      </c>
      <c r="NTB270" s="99" t="s">
        <v>1342</v>
      </c>
      <c r="NTC270" s="99" t="s">
        <v>1219</v>
      </c>
      <c r="NTD270" s="99" t="s">
        <v>1339</v>
      </c>
      <c r="NTH270" s="99" t="s">
        <v>1340</v>
      </c>
      <c r="OCX270" s="99" t="s">
        <v>1342</v>
      </c>
      <c r="OCY270" s="99" t="s">
        <v>1219</v>
      </c>
      <c r="OCZ270" s="99" t="s">
        <v>1339</v>
      </c>
      <c r="ODD270" s="99" t="s">
        <v>1340</v>
      </c>
      <c r="OMT270" s="99" t="s">
        <v>1342</v>
      </c>
      <c r="OMU270" s="99" t="s">
        <v>1219</v>
      </c>
      <c r="OMV270" s="99" t="s">
        <v>1339</v>
      </c>
      <c r="OMZ270" s="99" t="s">
        <v>1340</v>
      </c>
      <c r="OWP270" s="99" t="s">
        <v>1342</v>
      </c>
      <c r="OWQ270" s="99" t="s">
        <v>1219</v>
      </c>
      <c r="OWR270" s="99" t="s">
        <v>1339</v>
      </c>
      <c r="OWV270" s="99" t="s">
        <v>1340</v>
      </c>
      <c r="PGL270" s="99" t="s">
        <v>1342</v>
      </c>
      <c r="PGM270" s="99" t="s">
        <v>1219</v>
      </c>
      <c r="PGN270" s="99" t="s">
        <v>1339</v>
      </c>
      <c r="PGR270" s="99" t="s">
        <v>1340</v>
      </c>
      <c r="PQH270" s="99" t="s">
        <v>1342</v>
      </c>
      <c r="PQI270" s="99" t="s">
        <v>1219</v>
      </c>
      <c r="PQJ270" s="99" t="s">
        <v>1339</v>
      </c>
      <c r="PQN270" s="99" t="s">
        <v>1340</v>
      </c>
      <c r="QAD270" s="99" t="s">
        <v>1342</v>
      </c>
      <c r="QAE270" s="99" t="s">
        <v>1219</v>
      </c>
      <c r="QAF270" s="99" t="s">
        <v>1339</v>
      </c>
      <c r="QAJ270" s="99" t="s">
        <v>1340</v>
      </c>
      <c r="QJZ270" s="99" t="s">
        <v>1342</v>
      </c>
      <c r="QKA270" s="99" t="s">
        <v>1219</v>
      </c>
      <c r="QKB270" s="99" t="s">
        <v>1339</v>
      </c>
      <c r="QKF270" s="99" t="s">
        <v>1340</v>
      </c>
      <c r="QTV270" s="99" t="s">
        <v>1342</v>
      </c>
      <c r="QTW270" s="99" t="s">
        <v>1219</v>
      </c>
      <c r="QTX270" s="99" t="s">
        <v>1339</v>
      </c>
      <c r="QUB270" s="99" t="s">
        <v>1340</v>
      </c>
      <c r="RDR270" s="99" t="s">
        <v>1342</v>
      </c>
      <c r="RDS270" s="99" t="s">
        <v>1219</v>
      </c>
      <c r="RDT270" s="99" t="s">
        <v>1339</v>
      </c>
      <c r="RDX270" s="99" t="s">
        <v>1340</v>
      </c>
      <c r="RNN270" s="99" t="s">
        <v>1342</v>
      </c>
      <c r="RNO270" s="99" t="s">
        <v>1219</v>
      </c>
      <c r="RNP270" s="99" t="s">
        <v>1339</v>
      </c>
      <c r="RNT270" s="99" t="s">
        <v>1340</v>
      </c>
      <c r="RXJ270" s="99" t="s">
        <v>1342</v>
      </c>
      <c r="RXK270" s="99" t="s">
        <v>1219</v>
      </c>
      <c r="RXL270" s="99" t="s">
        <v>1339</v>
      </c>
      <c r="RXP270" s="99" t="s">
        <v>1340</v>
      </c>
      <c r="SHF270" s="99" t="s">
        <v>1342</v>
      </c>
      <c r="SHG270" s="99" t="s">
        <v>1219</v>
      </c>
      <c r="SHH270" s="99" t="s">
        <v>1339</v>
      </c>
      <c r="SHL270" s="99" t="s">
        <v>1340</v>
      </c>
      <c r="SRB270" s="99" t="s">
        <v>1342</v>
      </c>
      <c r="SRC270" s="99" t="s">
        <v>1219</v>
      </c>
      <c r="SRD270" s="99" t="s">
        <v>1339</v>
      </c>
      <c r="SRH270" s="99" t="s">
        <v>1340</v>
      </c>
      <c r="TAX270" s="99" t="s">
        <v>1342</v>
      </c>
      <c r="TAY270" s="99" t="s">
        <v>1219</v>
      </c>
      <c r="TAZ270" s="99" t="s">
        <v>1339</v>
      </c>
      <c r="TBD270" s="99" t="s">
        <v>1340</v>
      </c>
      <c r="TKT270" s="99" t="s">
        <v>1342</v>
      </c>
      <c r="TKU270" s="99" t="s">
        <v>1219</v>
      </c>
      <c r="TKV270" s="99" t="s">
        <v>1339</v>
      </c>
      <c r="TKZ270" s="99" t="s">
        <v>1340</v>
      </c>
      <c r="TUP270" s="99" t="s">
        <v>1342</v>
      </c>
      <c r="TUQ270" s="99" t="s">
        <v>1219</v>
      </c>
      <c r="TUR270" s="99" t="s">
        <v>1339</v>
      </c>
      <c r="TUV270" s="99" t="s">
        <v>1340</v>
      </c>
      <c r="UEL270" s="99" t="s">
        <v>1342</v>
      </c>
      <c r="UEM270" s="99" t="s">
        <v>1219</v>
      </c>
      <c r="UEN270" s="99" t="s">
        <v>1339</v>
      </c>
      <c r="UER270" s="99" t="s">
        <v>1340</v>
      </c>
      <c r="UOH270" s="99" t="s">
        <v>1342</v>
      </c>
      <c r="UOI270" s="99" t="s">
        <v>1219</v>
      </c>
      <c r="UOJ270" s="99" t="s">
        <v>1339</v>
      </c>
      <c r="UON270" s="99" t="s">
        <v>1340</v>
      </c>
      <c r="UYD270" s="99" t="s">
        <v>1342</v>
      </c>
      <c r="UYE270" s="99" t="s">
        <v>1219</v>
      </c>
      <c r="UYF270" s="99" t="s">
        <v>1339</v>
      </c>
      <c r="UYJ270" s="99" t="s">
        <v>1340</v>
      </c>
      <c r="VHZ270" s="99" t="s">
        <v>1342</v>
      </c>
      <c r="VIA270" s="99" t="s">
        <v>1219</v>
      </c>
      <c r="VIB270" s="99" t="s">
        <v>1339</v>
      </c>
      <c r="VIF270" s="99" t="s">
        <v>1340</v>
      </c>
      <c r="VRV270" s="99" t="s">
        <v>1342</v>
      </c>
      <c r="VRW270" s="99" t="s">
        <v>1219</v>
      </c>
      <c r="VRX270" s="99" t="s">
        <v>1339</v>
      </c>
      <c r="VSB270" s="99" t="s">
        <v>1340</v>
      </c>
      <c r="WBR270" s="99" t="s">
        <v>1342</v>
      </c>
      <c r="WBS270" s="99" t="s">
        <v>1219</v>
      </c>
      <c r="WBT270" s="99" t="s">
        <v>1339</v>
      </c>
      <c r="WBX270" s="99" t="s">
        <v>1340</v>
      </c>
      <c r="WLN270" s="99" t="s">
        <v>1342</v>
      </c>
      <c r="WLO270" s="99" t="s">
        <v>1219</v>
      </c>
      <c r="WLP270" s="99" t="s">
        <v>1339</v>
      </c>
      <c r="WLT270" s="99" t="s">
        <v>1340</v>
      </c>
      <c r="WVJ270" s="99" t="s">
        <v>1342</v>
      </c>
      <c r="WVK270" s="99" t="s">
        <v>1219</v>
      </c>
      <c r="WVL270" s="99" t="s">
        <v>1339</v>
      </c>
      <c r="WVP270" s="99" t="s">
        <v>1340</v>
      </c>
    </row>
    <row r="271" spans="1:777 1026:1801 2050:2825 3074:3849 4098:4873 5122:5897 6146:6921 7170:7945 8194:8969 9218:9993 10242:11017 11266:12041 12290:13065 13314:14089 14338:15113 15362:16137" ht="13.8" thickBot="1">
      <c r="A271" s="2255"/>
      <c r="B271" s="2255"/>
      <c r="C271" s="1139" t="s">
        <v>1341</v>
      </c>
      <c r="D271" s="1746"/>
      <c r="E271" s="1244"/>
      <c r="F271" s="1139"/>
      <c r="G271" s="1139"/>
      <c r="H271" s="1139" t="s">
        <v>1340</v>
      </c>
      <c r="I271" s="1116"/>
      <c r="IZ271" s="99" t="s">
        <v>1341</v>
      </c>
      <c r="JD271" s="99" t="s">
        <v>1340</v>
      </c>
      <c r="SV271" s="99" t="s">
        <v>1341</v>
      </c>
      <c r="SZ271" s="99" t="s">
        <v>1340</v>
      </c>
      <c r="ACR271" s="99" t="s">
        <v>1341</v>
      </c>
      <c r="ACV271" s="99" t="s">
        <v>1340</v>
      </c>
      <c r="AMN271" s="99" t="s">
        <v>1341</v>
      </c>
      <c r="AMR271" s="99" t="s">
        <v>1340</v>
      </c>
      <c r="AWJ271" s="99" t="s">
        <v>1341</v>
      </c>
      <c r="AWN271" s="99" t="s">
        <v>1340</v>
      </c>
      <c r="BGF271" s="99" t="s">
        <v>1341</v>
      </c>
      <c r="BGJ271" s="99" t="s">
        <v>1340</v>
      </c>
      <c r="BQB271" s="99" t="s">
        <v>1341</v>
      </c>
      <c r="BQF271" s="99" t="s">
        <v>1340</v>
      </c>
      <c r="BZX271" s="99" t="s">
        <v>1341</v>
      </c>
      <c r="CAB271" s="99" t="s">
        <v>1340</v>
      </c>
      <c r="CJT271" s="99" t="s">
        <v>1341</v>
      </c>
      <c r="CJX271" s="99" t="s">
        <v>1340</v>
      </c>
      <c r="CTP271" s="99" t="s">
        <v>1341</v>
      </c>
      <c r="CTT271" s="99" t="s">
        <v>1340</v>
      </c>
      <c r="DDL271" s="99" t="s">
        <v>1341</v>
      </c>
      <c r="DDP271" s="99" t="s">
        <v>1340</v>
      </c>
      <c r="DNH271" s="99" t="s">
        <v>1341</v>
      </c>
      <c r="DNL271" s="99" t="s">
        <v>1340</v>
      </c>
      <c r="DXD271" s="99" t="s">
        <v>1341</v>
      </c>
      <c r="DXH271" s="99" t="s">
        <v>1340</v>
      </c>
      <c r="EGZ271" s="99" t="s">
        <v>1341</v>
      </c>
      <c r="EHD271" s="99" t="s">
        <v>1340</v>
      </c>
      <c r="EQV271" s="99" t="s">
        <v>1341</v>
      </c>
      <c r="EQZ271" s="99" t="s">
        <v>1340</v>
      </c>
      <c r="FAR271" s="99" t="s">
        <v>1341</v>
      </c>
      <c r="FAV271" s="99" t="s">
        <v>1340</v>
      </c>
      <c r="FKN271" s="99" t="s">
        <v>1341</v>
      </c>
      <c r="FKR271" s="99" t="s">
        <v>1340</v>
      </c>
      <c r="FUJ271" s="99" t="s">
        <v>1341</v>
      </c>
      <c r="FUN271" s="99" t="s">
        <v>1340</v>
      </c>
      <c r="GEF271" s="99" t="s">
        <v>1341</v>
      </c>
      <c r="GEJ271" s="99" t="s">
        <v>1340</v>
      </c>
      <c r="GOB271" s="99" t="s">
        <v>1341</v>
      </c>
      <c r="GOF271" s="99" t="s">
        <v>1340</v>
      </c>
      <c r="GXX271" s="99" t="s">
        <v>1341</v>
      </c>
      <c r="GYB271" s="99" t="s">
        <v>1340</v>
      </c>
      <c r="HHT271" s="99" t="s">
        <v>1341</v>
      </c>
      <c r="HHX271" s="99" t="s">
        <v>1340</v>
      </c>
      <c r="HRP271" s="99" t="s">
        <v>1341</v>
      </c>
      <c r="HRT271" s="99" t="s">
        <v>1340</v>
      </c>
      <c r="IBL271" s="99" t="s">
        <v>1341</v>
      </c>
      <c r="IBP271" s="99" t="s">
        <v>1340</v>
      </c>
      <c r="ILH271" s="99" t="s">
        <v>1341</v>
      </c>
      <c r="ILL271" s="99" t="s">
        <v>1340</v>
      </c>
      <c r="IVD271" s="99" t="s">
        <v>1341</v>
      </c>
      <c r="IVH271" s="99" t="s">
        <v>1340</v>
      </c>
      <c r="JEZ271" s="99" t="s">
        <v>1341</v>
      </c>
      <c r="JFD271" s="99" t="s">
        <v>1340</v>
      </c>
      <c r="JOV271" s="99" t="s">
        <v>1341</v>
      </c>
      <c r="JOZ271" s="99" t="s">
        <v>1340</v>
      </c>
      <c r="JYR271" s="99" t="s">
        <v>1341</v>
      </c>
      <c r="JYV271" s="99" t="s">
        <v>1340</v>
      </c>
      <c r="KIN271" s="99" t="s">
        <v>1341</v>
      </c>
      <c r="KIR271" s="99" t="s">
        <v>1340</v>
      </c>
      <c r="KSJ271" s="99" t="s">
        <v>1341</v>
      </c>
      <c r="KSN271" s="99" t="s">
        <v>1340</v>
      </c>
      <c r="LCF271" s="99" t="s">
        <v>1341</v>
      </c>
      <c r="LCJ271" s="99" t="s">
        <v>1340</v>
      </c>
      <c r="LMB271" s="99" t="s">
        <v>1341</v>
      </c>
      <c r="LMF271" s="99" t="s">
        <v>1340</v>
      </c>
      <c r="LVX271" s="99" t="s">
        <v>1341</v>
      </c>
      <c r="LWB271" s="99" t="s">
        <v>1340</v>
      </c>
      <c r="MFT271" s="99" t="s">
        <v>1341</v>
      </c>
      <c r="MFX271" s="99" t="s">
        <v>1340</v>
      </c>
      <c r="MPP271" s="99" t="s">
        <v>1341</v>
      </c>
      <c r="MPT271" s="99" t="s">
        <v>1340</v>
      </c>
      <c r="MZL271" s="99" t="s">
        <v>1341</v>
      </c>
      <c r="MZP271" s="99" t="s">
        <v>1340</v>
      </c>
      <c r="NJH271" s="99" t="s">
        <v>1341</v>
      </c>
      <c r="NJL271" s="99" t="s">
        <v>1340</v>
      </c>
      <c r="NTD271" s="99" t="s">
        <v>1341</v>
      </c>
      <c r="NTH271" s="99" t="s">
        <v>1340</v>
      </c>
      <c r="OCZ271" s="99" t="s">
        <v>1341</v>
      </c>
      <c r="ODD271" s="99" t="s">
        <v>1340</v>
      </c>
      <c r="OMV271" s="99" t="s">
        <v>1341</v>
      </c>
      <c r="OMZ271" s="99" t="s">
        <v>1340</v>
      </c>
      <c r="OWR271" s="99" t="s">
        <v>1341</v>
      </c>
      <c r="OWV271" s="99" t="s">
        <v>1340</v>
      </c>
      <c r="PGN271" s="99" t="s">
        <v>1341</v>
      </c>
      <c r="PGR271" s="99" t="s">
        <v>1340</v>
      </c>
      <c r="PQJ271" s="99" t="s">
        <v>1341</v>
      </c>
      <c r="PQN271" s="99" t="s">
        <v>1340</v>
      </c>
      <c r="QAF271" s="99" t="s">
        <v>1341</v>
      </c>
      <c r="QAJ271" s="99" t="s">
        <v>1340</v>
      </c>
      <c r="QKB271" s="99" t="s">
        <v>1341</v>
      </c>
      <c r="QKF271" s="99" t="s">
        <v>1340</v>
      </c>
      <c r="QTX271" s="99" t="s">
        <v>1341</v>
      </c>
      <c r="QUB271" s="99" t="s">
        <v>1340</v>
      </c>
      <c r="RDT271" s="99" t="s">
        <v>1341</v>
      </c>
      <c r="RDX271" s="99" t="s">
        <v>1340</v>
      </c>
      <c r="RNP271" s="99" t="s">
        <v>1341</v>
      </c>
      <c r="RNT271" s="99" t="s">
        <v>1340</v>
      </c>
      <c r="RXL271" s="99" t="s">
        <v>1341</v>
      </c>
      <c r="RXP271" s="99" t="s">
        <v>1340</v>
      </c>
      <c r="SHH271" s="99" t="s">
        <v>1341</v>
      </c>
      <c r="SHL271" s="99" t="s">
        <v>1340</v>
      </c>
      <c r="SRD271" s="99" t="s">
        <v>1341</v>
      </c>
      <c r="SRH271" s="99" t="s">
        <v>1340</v>
      </c>
      <c r="TAZ271" s="99" t="s">
        <v>1341</v>
      </c>
      <c r="TBD271" s="99" t="s">
        <v>1340</v>
      </c>
      <c r="TKV271" s="99" t="s">
        <v>1341</v>
      </c>
      <c r="TKZ271" s="99" t="s">
        <v>1340</v>
      </c>
      <c r="TUR271" s="99" t="s">
        <v>1341</v>
      </c>
      <c r="TUV271" s="99" t="s">
        <v>1340</v>
      </c>
      <c r="UEN271" s="99" t="s">
        <v>1341</v>
      </c>
      <c r="UER271" s="99" t="s">
        <v>1340</v>
      </c>
      <c r="UOJ271" s="99" t="s">
        <v>1341</v>
      </c>
      <c r="UON271" s="99" t="s">
        <v>1340</v>
      </c>
      <c r="UYF271" s="99" t="s">
        <v>1341</v>
      </c>
      <c r="UYJ271" s="99" t="s">
        <v>1340</v>
      </c>
      <c r="VIB271" s="99" t="s">
        <v>1341</v>
      </c>
      <c r="VIF271" s="99" t="s">
        <v>1340</v>
      </c>
      <c r="VRX271" s="99" t="s">
        <v>1341</v>
      </c>
      <c r="VSB271" s="99" t="s">
        <v>1340</v>
      </c>
      <c r="WBT271" s="99" t="s">
        <v>1341</v>
      </c>
      <c r="WBX271" s="99" t="s">
        <v>1340</v>
      </c>
      <c r="WLP271" s="99" t="s">
        <v>1341</v>
      </c>
      <c r="WLT271" s="99" t="s">
        <v>1340</v>
      </c>
      <c r="WVL271" s="99" t="s">
        <v>1341</v>
      </c>
      <c r="WVP271" s="99" t="s">
        <v>1340</v>
      </c>
    </row>
    <row r="272" spans="1:777 1026:1801 2050:2825 3074:3849 4098:4873 5122:5897 6146:6921 7170:7945 8194:8969 9218:9993 10242:11017 11266:12041 12290:13065 13314:14089 14338:15113 15362:16137" ht="13.8" thickBot="1">
      <c r="A272" s="2242" t="s">
        <v>1230</v>
      </c>
      <c r="B272" s="2243"/>
      <c r="C272" s="2243"/>
      <c r="D272" s="2243"/>
      <c r="E272" s="1120">
        <f>SUM(E270:E271)</f>
        <v>0</v>
      </c>
      <c r="F272" s="1145"/>
      <c r="G272" s="1145"/>
      <c r="H272" s="1145"/>
      <c r="I272" s="523">
        <f>SUM(I270:I271)</f>
        <v>0</v>
      </c>
      <c r="IX272" s="99" t="s">
        <v>1230</v>
      </c>
      <c r="ST272" s="99" t="s">
        <v>1230</v>
      </c>
      <c r="ACP272" s="99" t="s">
        <v>1230</v>
      </c>
      <c r="AML272" s="99" t="s">
        <v>1230</v>
      </c>
      <c r="AWH272" s="99" t="s">
        <v>1230</v>
      </c>
      <c r="BGD272" s="99" t="s">
        <v>1230</v>
      </c>
      <c r="BPZ272" s="99" t="s">
        <v>1230</v>
      </c>
      <c r="BZV272" s="99" t="s">
        <v>1230</v>
      </c>
      <c r="CJR272" s="99" t="s">
        <v>1230</v>
      </c>
      <c r="CTN272" s="99" t="s">
        <v>1230</v>
      </c>
      <c r="DDJ272" s="99" t="s">
        <v>1230</v>
      </c>
      <c r="DNF272" s="99" t="s">
        <v>1230</v>
      </c>
      <c r="DXB272" s="99" t="s">
        <v>1230</v>
      </c>
      <c r="EGX272" s="99" t="s">
        <v>1230</v>
      </c>
      <c r="EQT272" s="99" t="s">
        <v>1230</v>
      </c>
      <c r="FAP272" s="99" t="s">
        <v>1230</v>
      </c>
      <c r="FKL272" s="99" t="s">
        <v>1230</v>
      </c>
      <c r="FUH272" s="99" t="s">
        <v>1230</v>
      </c>
      <c r="GED272" s="99" t="s">
        <v>1230</v>
      </c>
      <c r="GNZ272" s="99" t="s">
        <v>1230</v>
      </c>
      <c r="GXV272" s="99" t="s">
        <v>1230</v>
      </c>
      <c r="HHR272" s="99" t="s">
        <v>1230</v>
      </c>
      <c r="HRN272" s="99" t="s">
        <v>1230</v>
      </c>
      <c r="IBJ272" s="99" t="s">
        <v>1230</v>
      </c>
      <c r="ILF272" s="99" t="s">
        <v>1230</v>
      </c>
      <c r="IVB272" s="99" t="s">
        <v>1230</v>
      </c>
      <c r="JEX272" s="99" t="s">
        <v>1230</v>
      </c>
      <c r="JOT272" s="99" t="s">
        <v>1230</v>
      </c>
      <c r="JYP272" s="99" t="s">
        <v>1230</v>
      </c>
      <c r="KIL272" s="99" t="s">
        <v>1230</v>
      </c>
      <c r="KSH272" s="99" t="s">
        <v>1230</v>
      </c>
      <c r="LCD272" s="99" t="s">
        <v>1230</v>
      </c>
      <c r="LLZ272" s="99" t="s">
        <v>1230</v>
      </c>
      <c r="LVV272" s="99" t="s">
        <v>1230</v>
      </c>
      <c r="MFR272" s="99" t="s">
        <v>1230</v>
      </c>
      <c r="MPN272" s="99" t="s">
        <v>1230</v>
      </c>
      <c r="MZJ272" s="99" t="s">
        <v>1230</v>
      </c>
      <c r="NJF272" s="99" t="s">
        <v>1230</v>
      </c>
      <c r="NTB272" s="99" t="s">
        <v>1230</v>
      </c>
      <c r="OCX272" s="99" t="s">
        <v>1230</v>
      </c>
      <c r="OMT272" s="99" t="s">
        <v>1230</v>
      </c>
      <c r="OWP272" s="99" t="s">
        <v>1230</v>
      </c>
      <c r="PGL272" s="99" t="s">
        <v>1230</v>
      </c>
      <c r="PQH272" s="99" t="s">
        <v>1230</v>
      </c>
      <c r="QAD272" s="99" t="s">
        <v>1230</v>
      </c>
      <c r="QJZ272" s="99" t="s">
        <v>1230</v>
      </c>
      <c r="QTV272" s="99" t="s">
        <v>1230</v>
      </c>
      <c r="RDR272" s="99" t="s">
        <v>1230</v>
      </c>
      <c r="RNN272" s="99" t="s">
        <v>1230</v>
      </c>
      <c r="RXJ272" s="99" t="s">
        <v>1230</v>
      </c>
      <c r="SHF272" s="99" t="s">
        <v>1230</v>
      </c>
      <c r="SRB272" s="99" t="s">
        <v>1230</v>
      </c>
      <c r="TAX272" s="99" t="s">
        <v>1230</v>
      </c>
      <c r="TKT272" s="99" t="s">
        <v>1230</v>
      </c>
      <c r="TUP272" s="99" t="s">
        <v>1230</v>
      </c>
      <c r="UEL272" s="99" t="s">
        <v>1230</v>
      </c>
      <c r="UOH272" s="99" t="s">
        <v>1230</v>
      </c>
      <c r="UYD272" s="99" t="s">
        <v>1230</v>
      </c>
      <c r="VHZ272" s="99" t="s">
        <v>1230</v>
      </c>
      <c r="VRV272" s="99" t="s">
        <v>1230</v>
      </c>
      <c r="WBR272" s="99" t="s">
        <v>1230</v>
      </c>
      <c r="WLN272" s="99" t="s">
        <v>1230</v>
      </c>
      <c r="WVJ272" s="99" t="s">
        <v>1230</v>
      </c>
    </row>
    <row r="273" spans="1:770 1025:1794 2049:2818 3073:3842 4097:4866 5121:5890 6145:6914 7169:7938 8193:8962 9217:9986 10241:11010 11265:12034 12289:13058 13313:14082 14337:15106 15361:16130" ht="13.8" thickBot="1">
      <c r="A273" s="2233" t="s">
        <v>250</v>
      </c>
      <c r="B273" s="2234"/>
      <c r="C273" s="2234"/>
      <c r="D273" s="2234"/>
      <c r="E273" s="1128">
        <f>E269+E272</f>
        <v>0</v>
      </c>
      <c r="F273" s="1129"/>
      <c r="G273" s="1129"/>
      <c r="H273" s="1129"/>
      <c r="I273" s="1130">
        <f>I269+I272</f>
        <v>0</v>
      </c>
      <c r="IX273" s="99" t="s">
        <v>250</v>
      </c>
      <c r="ST273" s="99" t="s">
        <v>250</v>
      </c>
      <c r="ACP273" s="99" t="s">
        <v>250</v>
      </c>
      <c r="AML273" s="99" t="s">
        <v>250</v>
      </c>
      <c r="AWH273" s="99" t="s">
        <v>250</v>
      </c>
      <c r="BGD273" s="99" t="s">
        <v>250</v>
      </c>
      <c r="BPZ273" s="99" t="s">
        <v>250</v>
      </c>
      <c r="BZV273" s="99" t="s">
        <v>250</v>
      </c>
      <c r="CJR273" s="99" t="s">
        <v>250</v>
      </c>
      <c r="CTN273" s="99" t="s">
        <v>250</v>
      </c>
      <c r="DDJ273" s="99" t="s">
        <v>250</v>
      </c>
      <c r="DNF273" s="99" t="s">
        <v>250</v>
      </c>
      <c r="DXB273" s="99" t="s">
        <v>250</v>
      </c>
      <c r="EGX273" s="99" t="s">
        <v>250</v>
      </c>
      <c r="EQT273" s="99" t="s">
        <v>250</v>
      </c>
      <c r="FAP273" s="99" t="s">
        <v>250</v>
      </c>
      <c r="FKL273" s="99" t="s">
        <v>250</v>
      </c>
      <c r="FUH273" s="99" t="s">
        <v>250</v>
      </c>
      <c r="GED273" s="99" t="s">
        <v>250</v>
      </c>
      <c r="GNZ273" s="99" t="s">
        <v>250</v>
      </c>
      <c r="GXV273" s="99" t="s">
        <v>250</v>
      </c>
      <c r="HHR273" s="99" t="s">
        <v>250</v>
      </c>
      <c r="HRN273" s="99" t="s">
        <v>250</v>
      </c>
      <c r="IBJ273" s="99" t="s">
        <v>250</v>
      </c>
      <c r="ILF273" s="99" t="s">
        <v>250</v>
      </c>
      <c r="IVB273" s="99" t="s">
        <v>250</v>
      </c>
      <c r="JEX273" s="99" t="s">
        <v>250</v>
      </c>
      <c r="JOT273" s="99" t="s">
        <v>250</v>
      </c>
      <c r="JYP273" s="99" t="s">
        <v>250</v>
      </c>
      <c r="KIL273" s="99" t="s">
        <v>250</v>
      </c>
      <c r="KSH273" s="99" t="s">
        <v>250</v>
      </c>
      <c r="LCD273" s="99" t="s">
        <v>250</v>
      </c>
      <c r="LLZ273" s="99" t="s">
        <v>250</v>
      </c>
      <c r="LVV273" s="99" t="s">
        <v>250</v>
      </c>
      <c r="MFR273" s="99" t="s">
        <v>250</v>
      </c>
      <c r="MPN273" s="99" t="s">
        <v>250</v>
      </c>
      <c r="MZJ273" s="99" t="s">
        <v>250</v>
      </c>
      <c r="NJF273" s="99" t="s">
        <v>250</v>
      </c>
      <c r="NTB273" s="99" t="s">
        <v>250</v>
      </c>
      <c r="OCX273" s="99" t="s">
        <v>250</v>
      </c>
      <c r="OMT273" s="99" t="s">
        <v>250</v>
      </c>
      <c r="OWP273" s="99" t="s">
        <v>250</v>
      </c>
      <c r="PGL273" s="99" t="s">
        <v>250</v>
      </c>
      <c r="PQH273" s="99" t="s">
        <v>250</v>
      </c>
      <c r="QAD273" s="99" t="s">
        <v>250</v>
      </c>
      <c r="QJZ273" s="99" t="s">
        <v>250</v>
      </c>
      <c r="QTV273" s="99" t="s">
        <v>250</v>
      </c>
      <c r="RDR273" s="99" t="s">
        <v>250</v>
      </c>
      <c r="RNN273" s="99" t="s">
        <v>250</v>
      </c>
      <c r="RXJ273" s="99" t="s">
        <v>250</v>
      </c>
      <c r="SHF273" s="99" t="s">
        <v>250</v>
      </c>
      <c r="SRB273" s="99" t="s">
        <v>250</v>
      </c>
      <c r="TAX273" s="99" t="s">
        <v>250</v>
      </c>
      <c r="TKT273" s="99" t="s">
        <v>250</v>
      </c>
      <c r="TUP273" s="99" t="s">
        <v>250</v>
      </c>
      <c r="UEL273" s="99" t="s">
        <v>250</v>
      </c>
      <c r="UOH273" s="99" t="s">
        <v>250</v>
      </c>
      <c r="UYD273" s="99" t="s">
        <v>250</v>
      </c>
      <c r="VHZ273" s="99" t="s">
        <v>250</v>
      </c>
      <c r="VRV273" s="99" t="s">
        <v>250</v>
      </c>
      <c r="WBR273" s="99" t="s">
        <v>250</v>
      </c>
      <c r="WLN273" s="99" t="s">
        <v>250</v>
      </c>
      <c r="WVJ273" s="99" t="s">
        <v>250</v>
      </c>
    </row>
    <row r="274" spans="1:770 1025:1794 2049:2818 3073:3842 4097:4866 5121:5890 6145:6914 7169:7938 8193:8962 9217:9986 10241:11010 11265:12034 12289:13058 13313:14082 14337:15106 15361:16130" ht="15" thickBot="1">
      <c r="A274" s="2228" t="s">
        <v>1316</v>
      </c>
      <c r="B274" s="2229"/>
      <c r="C274" s="2229"/>
      <c r="D274" s="2229"/>
      <c r="E274" s="2229"/>
      <c r="F274" s="2229"/>
      <c r="G274" s="2229"/>
      <c r="H274" s="2229"/>
      <c r="I274" s="2230"/>
      <c r="IW274" s="99" t="s">
        <v>1343</v>
      </c>
      <c r="SS274" s="99" t="s">
        <v>1343</v>
      </c>
      <c r="ACO274" s="99" t="s">
        <v>1343</v>
      </c>
      <c r="AMK274" s="99" t="s">
        <v>1343</v>
      </c>
      <c r="AWG274" s="99" t="s">
        <v>1343</v>
      </c>
      <c r="BGC274" s="99" t="s">
        <v>1343</v>
      </c>
      <c r="BPY274" s="99" t="s">
        <v>1343</v>
      </c>
      <c r="BZU274" s="99" t="s">
        <v>1343</v>
      </c>
      <c r="CJQ274" s="99" t="s">
        <v>1343</v>
      </c>
      <c r="CTM274" s="99" t="s">
        <v>1343</v>
      </c>
      <c r="DDI274" s="99" t="s">
        <v>1343</v>
      </c>
      <c r="DNE274" s="99" t="s">
        <v>1343</v>
      </c>
      <c r="DXA274" s="99" t="s">
        <v>1343</v>
      </c>
      <c r="EGW274" s="99" t="s">
        <v>1343</v>
      </c>
      <c r="EQS274" s="99" t="s">
        <v>1343</v>
      </c>
      <c r="FAO274" s="99" t="s">
        <v>1343</v>
      </c>
      <c r="FKK274" s="99" t="s">
        <v>1343</v>
      </c>
      <c r="FUG274" s="99" t="s">
        <v>1343</v>
      </c>
      <c r="GEC274" s="99" t="s">
        <v>1343</v>
      </c>
      <c r="GNY274" s="99" t="s">
        <v>1343</v>
      </c>
      <c r="GXU274" s="99" t="s">
        <v>1343</v>
      </c>
      <c r="HHQ274" s="99" t="s">
        <v>1343</v>
      </c>
      <c r="HRM274" s="99" t="s">
        <v>1343</v>
      </c>
      <c r="IBI274" s="99" t="s">
        <v>1343</v>
      </c>
      <c r="ILE274" s="99" t="s">
        <v>1343</v>
      </c>
      <c r="IVA274" s="99" t="s">
        <v>1343</v>
      </c>
      <c r="JEW274" s="99" t="s">
        <v>1343</v>
      </c>
      <c r="JOS274" s="99" t="s">
        <v>1343</v>
      </c>
      <c r="JYO274" s="99" t="s">
        <v>1343</v>
      </c>
      <c r="KIK274" s="99" t="s">
        <v>1343</v>
      </c>
      <c r="KSG274" s="99" t="s">
        <v>1343</v>
      </c>
      <c r="LCC274" s="99" t="s">
        <v>1343</v>
      </c>
      <c r="LLY274" s="99" t="s">
        <v>1343</v>
      </c>
      <c r="LVU274" s="99" t="s">
        <v>1343</v>
      </c>
      <c r="MFQ274" s="99" t="s">
        <v>1343</v>
      </c>
      <c r="MPM274" s="99" t="s">
        <v>1343</v>
      </c>
      <c r="MZI274" s="99" t="s">
        <v>1343</v>
      </c>
      <c r="NJE274" s="99" t="s">
        <v>1343</v>
      </c>
      <c r="NTA274" s="99" t="s">
        <v>1343</v>
      </c>
      <c r="OCW274" s="99" t="s">
        <v>1343</v>
      </c>
      <c r="OMS274" s="99" t="s">
        <v>1343</v>
      </c>
      <c r="OWO274" s="99" t="s">
        <v>1343</v>
      </c>
      <c r="PGK274" s="99" t="s">
        <v>1343</v>
      </c>
      <c r="PQG274" s="99" t="s">
        <v>1343</v>
      </c>
      <c r="QAC274" s="99" t="s">
        <v>1343</v>
      </c>
      <c r="QJY274" s="99" t="s">
        <v>1343</v>
      </c>
      <c r="QTU274" s="99" t="s">
        <v>1343</v>
      </c>
      <c r="RDQ274" s="99" t="s">
        <v>1343</v>
      </c>
      <c r="RNM274" s="99" t="s">
        <v>1343</v>
      </c>
      <c r="RXI274" s="99" t="s">
        <v>1343</v>
      </c>
      <c r="SHE274" s="99" t="s">
        <v>1343</v>
      </c>
      <c r="SRA274" s="99" t="s">
        <v>1343</v>
      </c>
      <c r="TAW274" s="99" t="s">
        <v>1343</v>
      </c>
      <c r="TKS274" s="99" t="s">
        <v>1343</v>
      </c>
      <c r="TUO274" s="99" t="s">
        <v>1343</v>
      </c>
      <c r="UEK274" s="99" t="s">
        <v>1343</v>
      </c>
      <c r="UOG274" s="99" t="s">
        <v>1343</v>
      </c>
      <c r="UYC274" s="99" t="s">
        <v>1343</v>
      </c>
      <c r="VHY274" s="99" t="s">
        <v>1343</v>
      </c>
      <c r="VRU274" s="99" t="s">
        <v>1343</v>
      </c>
      <c r="WBQ274" s="99" t="s">
        <v>1343</v>
      </c>
      <c r="WLM274" s="99" t="s">
        <v>1343</v>
      </c>
      <c r="WVI274" s="99" t="s">
        <v>1343</v>
      </c>
    </row>
    <row r="276" spans="1:770 1025:1794 2049:2818 3073:3842 4097:4866 5121:5890 6145:6914 7169:7938 8193:8962 9217:9986 10241:11010 11265:12034 12289:13058 13313:14082 14337:15106 15361:16130">
      <c r="A276" s="526" t="s">
        <v>1344</v>
      </c>
      <c r="B276" s="526"/>
      <c r="C276" s="526"/>
      <c r="D276" s="526"/>
      <c r="E276" s="526"/>
      <c r="F276" s="526"/>
      <c r="G276" s="526"/>
      <c r="H276" s="526"/>
      <c r="I276" s="526"/>
      <c r="J276" s="526"/>
      <c r="K276" s="526"/>
      <c r="L276" s="526"/>
      <c r="M276" s="526"/>
    </row>
    <row r="277" spans="1:770 1025:1794 2049:2818 3073:3842 4097:4866 5121:5890 6145:6914 7169:7938 8193:8962 9217:9986 10241:11010 11265:12034 12289:13058 13313:14082 14337:15106 15361:16130" ht="13.8" thickBot="1">
      <c r="A277" s="2316" t="s">
        <v>1183</v>
      </c>
      <c r="B277" s="2317"/>
      <c r="C277" s="1107" t="s">
        <v>1184</v>
      </c>
      <c r="D277" s="2236" t="s">
        <v>1345</v>
      </c>
      <c r="E277" s="2265"/>
      <c r="F277" s="2265"/>
      <c r="G277" s="2265"/>
      <c r="H277" s="2265"/>
      <c r="I277" s="2265"/>
      <c r="J277" s="2265"/>
      <c r="K277" s="2265"/>
      <c r="L277" s="2265"/>
      <c r="M277" s="2238"/>
    </row>
    <row r="278" spans="1:770 1025:1794 2049:2818 3073:3842 4097:4866 5121:5890 6145:6914 7169:7938 8193:8962 9217:9986 10241:11010 11265:12034 12289:13058 13313:14082 14337:15106 15361:16130">
      <c r="A278" s="2122" t="s">
        <v>1187</v>
      </c>
      <c r="B278" s="2272"/>
      <c r="C278" s="2272" t="s">
        <v>1346</v>
      </c>
      <c r="D278" s="2274" t="s">
        <v>1347</v>
      </c>
      <c r="E278" s="2274" t="s">
        <v>1348</v>
      </c>
      <c r="F278" s="2274" t="s">
        <v>1349</v>
      </c>
      <c r="G278" s="2274" t="s">
        <v>1350</v>
      </c>
      <c r="H278" s="2274" t="s">
        <v>1351</v>
      </c>
      <c r="I278" s="2274" t="s">
        <v>1352</v>
      </c>
      <c r="J278" s="2274" t="s">
        <v>1353</v>
      </c>
      <c r="K278" s="2274" t="s">
        <v>1354</v>
      </c>
      <c r="L278" s="2274" t="s">
        <v>1355</v>
      </c>
      <c r="M278" s="2274" t="s">
        <v>1356</v>
      </c>
    </row>
    <row r="279" spans="1:770 1025:1794 2049:2818 3073:3842 4097:4866 5121:5890 6145:6914 7169:7938 8193:8962 9217:9986 10241:11010 11265:12034 12289:13058 13313:14082 14337:15106 15361:16130">
      <c r="A279" s="2115"/>
      <c r="B279" s="2251"/>
      <c r="C279" s="2251"/>
      <c r="D279" s="2283"/>
      <c r="E279" s="2283"/>
      <c r="F279" s="2283"/>
      <c r="G279" s="2283"/>
      <c r="H279" s="2283"/>
      <c r="I279" s="2283"/>
      <c r="J279" s="2283"/>
      <c r="K279" s="2283"/>
      <c r="L279" s="2283"/>
      <c r="M279" s="2283"/>
    </row>
    <row r="280" spans="1:770 1025:1794 2049:2818 3073:3842 4097:4866 5121:5890 6145:6914 7169:7938 8193:8962 9217:9986 10241:11010 11265:12034 12289:13058 13313:14082 14337:15106 15361:16130" ht="13.8" thickBot="1">
      <c r="A280" s="2120"/>
      <c r="B280" s="2273"/>
      <c r="C280" s="2251"/>
      <c r="D280" s="2275"/>
      <c r="E280" s="2275"/>
      <c r="F280" s="2275"/>
      <c r="G280" s="2275"/>
      <c r="H280" s="2275"/>
      <c r="I280" s="2275"/>
      <c r="J280" s="2275"/>
      <c r="K280" s="2275"/>
      <c r="L280" s="2275"/>
      <c r="M280" s="2275"/>
    </row>
    <row r="281" spans="1:770 1025:1794 2049:2818 3073:3842 4097:4866 5121:5890 6145:6914 7169:7938 8193:8962 9217:9986 10241:11010 11265:12034 12289:13058 13313:14082 14337:15106 15361:16130">
      <c r="A281" s="2253" t="s">
        <v>1312</v>
      </c>
      <c r="B281" s="2253" t="s">
        <v>1196</v>
      </c>
      <c r="C281" s="2251"/>
      <c r="D281" s="2253" t="s">
        <v>1197</v>
      </c>
      <c r="E281" s="866" t="s">
        <v>1357</v>
      </c>
      <c r="F281" s="2253" t="s">
        <v>1329</v>
      </c>
      <c r="G281" s="2253" t="s">
        <v>1358</v>
      </c>
      <c r="H281" s="2253" t="s">
        <v>1358</v>
      </c>
      <c r="I281" s="2253" t="s">
        <v>1358</v>
      </c>
      <c r="J281" s="2253" t="s">
        <v>1358</v>
      </c>
      <c r="K281" s="2253" t="s">
        <v>1358</v>
      </c>
      <c r="L281" s="2253" t="s">
        <v>1358</v>
      </c>
      <c r="M281" s="866" t="s">
        <v>1357</v>
      </c>
    </row>
    <row r="282" spans="1:770 1025:1794 2049:2818 3073:3842 4097:4866 5121:5890 6145:6914 7169:7938 8193:8962 9217:9986 10241:11010 11265:12034 12289:13058 13313:14082 14337:15106 15361:16130" ht="15" thickBot="1">
      <c r="A282" s="2254"/>
      <c r="B282" s="2254"/>
      <c r="C282" s="2251"/>
      <c r="D282" s="2255"/>
      <c r="E282" s="1109" t="s">
        <v>1359</v>
      </c>
      <c r="F282" s="2255"/>
      <c r="G282" s="2255"/>
      <c r="H282" s="2255"/>
      <c r="I282" s="2255"/>
      <c r="J282" s="2255"/>
      <c r="K282" s="2255"/>
      <c r="L282" s="2255"/>
      <c r="M282" s="1109" t="s">
        <v>1290</v>
      </c>
    </row>
    <row r="283" spans="1:770 1025:1794 2049:2818 3073:3842 4097:4866 5121:5890 6145:6914 7169:7938 8193:8962 9217:9986 10241:11010 11265:12034 12289:13058 13313:14082 14337:15106 15361:16130" ht="14.4">
      <c r="A283" s="2254"/>
      <c r="B283" s="2254"/>
      <c r="C283" s="2251"/>
      <c r="D283" s="2253"/>
      <c r="E283" s="2253" t="s">
        <v>1360</v>
      </c>
      <c r="F283" s="2253" t="s">
        <v>1361</v>
      </c>
      <c r="G283" s="2253" t="s">
        <v>1362</v>
      </c>
      <c r="H283" s="2253" t="s">
        <v>1362</v>
      </c>
      <c r="I283" s="2253" t="s">
        <v>1362</v>
      </c>
      <c r="J283" s="2253" t="s">
        <v>1362</v>
      </c>
      <c r="K283" s="2253" t="s">
        <v>1362</v>
      </c>
      <c r="L283" s="2253" t="s">
        <v>1362</v>
      </c>
      <c r="M283" s="866" t="s">
        <v>1363</v>
      </c>
    </row>
    <row r="284" spans="1:770 1025:1794 2049:2818 3073:3842 4097:4866 5121:5890 6145:6914 7169:7938 8193:8962 9217:9986 10241:11010 11265:12034 12289:13058 13313:14082 14337:15106 15361:16130" ht="13.8" thickBot="1">
      <c r="A284" s="2254"/>
      <c r="B284" s="2254"/>
      <c r="C284" s="2251"/>
      <c r="D284" s="2255"/>
      <c r="E284" s="2255"/>
      <c r="F284" s="2255"/>
      <c r="G284" s="2255"/>
      <c r="H284" s="2255"/>
      <c r="I284" s="2255"/>
      <c r="J284" s="2255"/>
      <c r="K284" s="2255"/>
      <c r="L284" s="2255"/>
      <c r="M284" s="1109" t="s">
        <v>1364</v>
      </c>
    </row>
    <row r="285" spans="1:770 1025:1794 2049:2818 3073:3842 4097:4866 5121:5890 6145:6914 7169:7938 8193:8962 9217:9986 10241:11010 11265:12034 12289:13058 13313:14082 14337:15106 15361:16130" ht="15" thickBot="1">
      <c r="A285" s="2278"/>
      <c r="B285" s="2278"/>
      <c r="C285" s="2277"/>
      <c r="D285" s="393" t="s">
        <v>1365</v>
      </c>
      <c r="E285" s="393" t="s">
        <v>1366</v>
      </c>
      <c r="F285" s="393" t="s">
        <v>1278</v>
      </c>
      <c r="G285" s="393" t="s">
        <v>1367</v>
      </c>
      <c r="H285" s="393" t="s">
        <v>1368</v>
      </c>
      <c r="I285" s="393" t="s">
        <v>1369</v>
      </c>
      <c r="J285" s="393" t="s">
        <v>1370</v>
      </c>
      <c r="K285" s="393" t="s">
        <v>1371</v>
      </c>
      <c r="L285" s="393" t="s">
        <v>1372</v>
      </c>
      <c r="M285" s="393" t="s">
        <v>1373</v>
      </c>
    </row>
    <row r="286" spans="1:770 1025:1794 2049:2818 3073:3842 4097:4866 5121:5890 6145:6914 7169:7938 8193:8962 9217:9986 10241:11010 11265:12034 12289:13058 13313:14082 14337:15106 15361:16130" ht="14.4" thickTop="1" thickBot="1">
      <c r="A286" s="2264" t="s">
        <v>1338</v>
      </c>
      <c r="B286" s="2264" t="s">
        <v>1219</v>
      </c>
      <c r="C286" s="1139" t="s">
        <v>1339</v>
      </c>
      <c r="D286" s="1244"/>
      <c r="E286" s="1131"/>
      <c r="F286" s="1139" t="s">
        <v>1340</v>
      </c>
      <c r="G286" s="1131"/>
      <c r="H286" s="1131"/>
      <c r="I286" s="1131"/>
      <c r="J286" s="1139"/>
      <c r="K286" s="1139"/>
      <c r="L286" s="1139"/>
      <c r="M286" s="1132"/>
    </row>
    <row r="287" spans="1:770 1025:1794 2049:2818 3073:3842 4097:4866 5121:5890 6145:6914 7169:7938 8193:8962 9217:9986 10241:11010 11265:12034 12289:13058 13313:14082 14337:15106 15361:16130" ht="13.8" thickBot="1">
      <c r="A287" s="2255"/>
      <c r="B287" s="2255"/>
      <c r="C287" s="1139" t="s">
        <v>1341</v>
      </c>
      <c r="D287" s="1244"/>
      <c r="E287" s="1139"/>
      <c r="F287" s="1139" t="s">
        <v>1340</v>
      </c>
      <c r="G287" s="1139"/>
      <c r="H287" s="1139"/>
      <c r="I287" s="1139"/>
      <c r="J287" s="1139"/>
      <c r="K287" s="1139"/>
      <c r="L287" s="1139"/>
      <c r="M287" s="1132"/>
    </row>
    <row r="288" spans="1:770 1025:1794 2049:2818 3073:3842 4097:4866 5121:5890 6145:6914 7169:7938 8193:8962 9217:9986 10241:11010 11265:12034 12289:13058 13313:14082 14337:15106 15361:16130" ht="13.8" thickBot="1">
      <c r="A288" s="2242" t="s">
        <v>1230</v>
      </c>
      <c r="B288" s="2243"/>
      <c r="C288" s="2276"/>
      <c r="D288" s="1120">
        <f>SUM(D286:D287)</f>
        <v>0</v>
      </c>
      <c r="E288" s="1145"/>
      <c r="F288" s="1145"/>
      <c r="G288" s="1145"/>
      <c r="H288" s="1145"/>
      <c r="I288" s="1145"/>
      <c r="J288" s="922"/>
      <c r="K288" s="922"/>
      <c r="L288" s="922"/>
      <c r="M288" s="523">
        <f>SUM(M286:M287)</f>
        <v>0</v>
      </c>
    </row>
    <row r="289" spans="1:13" ht="13.8" thickBot="1">
      <c r="A289" s="2253" t="s">
        <v>1342</v>
      </c>
      <c r="B289" s="2253" t="s">
        <v>1219</v>
      </c>
      <c r="C289" s="1139" t="s">
        <v>1339</v>
      </c>
      <c r="D289" s="1244"/>
      <c r="E289" s="1131"/>
      <c r="F289" s="1139" t="s">
        <v>1340</v>
      </c>
      <c r="G289" s="1131"/>
      <c r="H289" s="1131"/>
      <c r="I289" s="1131"/>
      <c r="J289" s="1139"/>
      <c r="K289" s="1139"/>
      <c r="L289" s="1139"/>
      <c r="M289" s="1116"/>
    </row>
    <row r="290" spans="1:13" ht="13.8" thickBot="1">
      <c r="A290" s="2255"/>
      <c r="B290" s="2255"/>
      <c r="C290" s="1139" t="s">
        <v>1341</v>
      </c>
      <c r="D290" s="1244"/>
      <c r="E290" s="1139"/>
      <c r="F290" s="1139" t="s">
        <v>1340</v>
      </c>
      <c r="G290" s="1139"/>
      <c r="H290" s="1139"/>
      <c r="I290" s="1139"/>
      <c r="J290" s="1139"/>
      <c r="K290" s="1139"/>
      <c r="L290" s="1139"/>
      <c r="M290" s="1116"/>
    </row>
    <row r="291" spans="1:13" ht="13.8" thickBot="1">
      <c r="A291" s="2242" t="s">
        <v>1230</v>
      </c>
      <c r="B291" s="2243"/>
      <c r="C291" s="2276"/>
      <c r="D291" s="1120">
        <f>SUM(D289:D290)</f>
        <v>0</v>
      </c>
      <c r="E291" s="1145"/>
      <c r="F291" s="1145"/>
      <c r="G291" s="1145"/>
      <c r="H291" s="1145"/>
      <c r="I291" s="1145"/>
      <c r="J291" s="1145"/>
      <c r="K291" s="1145"/>
      <c r="L291" s="1145"/>
      <c r="M291" s="523">
        <f>SUM(M289:M290)</f>
        <v>0</v>
      </c>
    </row>
    <row r="292" spans="1:13" ht="13.8" thickBot="1">
      <c r="A292" s="2233" t="s">
        <v>250</v>
      </c>
      <c r="B292" s="2234"/>
      <c r="C292" s="2279"/>
      <c r="D292" s="1455">
        <f>D288+D291</f>
        <v>0</v>
      </c>
      <c r="E292" s="1129"/>
      <c r="F292" s="1129"/>
      <c r="G292" s="1129"/>
      <c r="H292" s="1129"/>
      <c r="I292" s="1129"/>
      <c r="J292" s="1129"/>
      <c r="K292" s="1129"/>
      <c r="L292" s="1129"/>
      <c r="M292" s="1130">
        <f>M288+M291</f>
        <v>0</v>
      </c>
    </row>
    <row r="293" spans="1:13" ht="15" thickBot="1">
      <c r="A293" s="2280" t="s">
        <v>1316</v>
      </c>
      <c r="B293" s="2281"/>
      <c r="C293" s="2281"/>
      <c r="D293" s="2281"/>
      <c r="E293" s="2281"/>
      <c r="F293" s="2281"/>
      <c r="G293" s="2281"/>
      <c r="H293" s="2281"/>
      <c r="I293" s="2281"/>
      <c r="J293" s="2281"/>
      <c r="K293" s="2281"/>
      <c r="L293" s="2281"/>
      <c r="M293" s="2282"/>
    </row>
    <row r="295" spans="1:13" ht="13.8" thickBot="1">
      <c r="A295" s="526" t="s">
        <v>1374</v>
      </c>
      <c r="B295" s="526"/>
      <c r="C295" s="526"/>
      <c r="D295" s="526"/>
      <c r="E295" s="526"/>
      <c r="F295" s="526"/>
      <c r="G295" s="526"/>
    </row>
    <row r="296" spans="1:13" ht="13.8" thickBot="1">
      <c r="A296" s="2244" t="s">
        <v>1183</v>
      </c>
      <c r="B296" s="2246"/>
      <c r="C296" s="498" t="s">
        <v>1184</v>
      </c>
      <c r="D296" s="2244" t="s">
        <v>1301</v>
      </c>
      <c r="E296" s="2245"/>
      <c r="F296" s="2245"/>
      <c r="G296" s="2246"/>
    </row>
    <row r="297" spans="1:13" ht="27" thickBot="1">
      <c r="A297" s="2268" t="s">
        <v>1187</v>
      </c>
      <c r="B297" s="2269"/>
      <c r="C297" s="2272" t="s">
        <v>1188</v>
      </c>
      <c r="D297" s="2239" t="s">
        <v>2434</v>
      </c>
      <c r="E297" s="1108" t="s">
        <v>1375</v>
      </c>
      <c r="F297" s="1108" t="s">
        <v>1303</v>
      </c>
      <c r="G297" s="1108" t="s">
        <v>1376</v>
      </c>
    </row>
    <row r="298" spans="1:13" ht="15" thickBot="1">
      <c r="A298" s="2253" t="s">
        <v>1312</v>
      </c>
      <c r="B298" s="2253" t="s">
        <v>1196</v>
      </c>
      <c r="C298" s="2251"/>
      <c r="D298" s="2240"/>
      <c r="E298" s="1139" t="s">
        <v>1197</v>
      </c>
      <c r="F298" s="1139" t="s">
        <v>1305</v>
      </c>
      <c r="G298" s="1139" t="s">
        <v>1201</v>
      </c>
    </row>
    <row r="299" spans="1:13" ht="15" thickBot="1">
      <c r="A299" s="2254"/>
      <c r="B299" s="2254"/>
      <c r="C299" s="2251"/>
      <c r="D299" s="2240"/>
      <c r="E299" s="1139"/>
      <c r="F299" s="495" t="s">
        <v>1306</v>
      </c>
      <c r="G299" s="1141" t="s">
        <v>1307</v>
      </c>
    </row>
    <row r="300" spans="1:13" ht="15" thickBot="1">
      <c r="A300" s="2278"/>
      <c r="B300" s="2278"/>
      <c r="C300" s="2277"/>
      <c r="D300" s="2241"/>
      <c r="E300" s="393" t="s">
        <v>1213</v>
      </c>
      <c r="F300" s="878" t="s">
        <v>886</v>
      </c>
      <c r="G300" s="872" t="s">
        <v>1308</v>
      </c>
    </row>
    <row r="301" spans="1:13" ht="14.4" thickTop="1" thickBot="1">
      <c r="A301" s="2264" t="s">
        <v>1338</v>
      </c>
      <c r="B301" s="2264" t="s">
        <v>1219</v>
      </c>
      <c r="C301" s="1139" t="s">
        <v>1339</v>
      </c>
      <c r="D301" s="1746"/>
      <c r="E301" s="1244"/>
      <c r="F301" s="1131"/>
      <c r="G301" s="1132"/>
    </row>
    <row r="302" spans="1:13" ht="13.8" thickBot="1">
      <c r="A302" s="2255"/>
      <c r="B302" s="2255"/>
      <c r="C302" s="1139" t="s">
        <v>1341</v>
      </c>
      <c r="D302" s="1746"/>
      <c r="E302" s="1244"/>
      <c r="F302" s="1139"/>
      <c r="G302" s="1132"/>
    </row>
    <row r="303" spans="1:13" ht="13.8" thickBot="1">
      <c r="A303" s="2242" t="s">
        <v>1230</v>
      </c>
      <c r="B303" s="2243"/>
      <c r="C303" s="2276"/>
      <c r="D303" s="1531"/>
      <c r="E303" s="1120">
        <f>SUM(E301:E302)</f>
        <v>0</v>
      </c>
      <c r="F303" s="1145"/>
      <c r="G303" s="523">
        <f>SUM(G301:G302)</f>
        <v>0</v>
      </c>
    </row>
    <row r="304" spans="1:13" ht="13.8" thickBot="1">
      <c r="A304" s="2253" t="s">
        <v>1342</v>
      </c>
      <c r="B304" s="2253" t="s">
        <v>1219</v>
      </c>
      <c r="C304" s="1139" t="s">
        <v>1339</v>
      </c>
      <c r="D304" s="1746"/>
      <c r="E304" s="1244"/>
      <c r="F304" s="1131"/>
      <c r="G304" s="1116"/>
    </row>
    <row r="305" spans="1:13" ht="13.8" thickBot="1">
      <c r="A305" s="2255"/>
      <c r="B305" s="2255"/>
      <c r="C305" s="1139" t="s">
        <v>1341</v>
      </c>
      <c r="D305" s="1746"/>
      <c r="E305" s="1244"/>
      <c r="F305" s="1139"/>
      <c r="G305" s="1116"/>
    </row>
    <row r="306" spans="1:13" ht="13.8" thickBot="1">
      <c r="A306" s="2242" t="s">
        <v>1230</v>
      </c>
      <c r="B306" s="2243"/>
      <c r="C306" s="2276"/>
      <c r="D306" s="1531"/>
      <c r="E306" s="1120">
        <f>SUM(E304:E305)</f>
        <v>0</v>
      </c>
      <c r="F306" s="1145"/>
      <c r="G306" s="523">
        <f>SUM(G304:G305)</f>
        <v>0</v>
      </c>
    </row>
    <row r="307" spans="1:13" ht="13.8" thickBot="1">
      <c r="A307" s="2233" t="s">
        <v>250</v>
      </c>
      <c r="B307" s="2234"/>
      <c r="C307" s="2279"/>
      <c r="D307" s="1490"/>
      <c r="E307" s="1442"/>
      <c r="F307" s="1442"/>
      <c r="G307" s="1130">
        <f>G303+G306</f>
        <v>0</v>
      </c>
    </row>
    <row r="308" spans="1:13" ht="15" thickBot="1">
      <c r="A308" s="2228" t="s">
        <v>1316</v>
      </c>
      <c r="B308" s="2229"/>
      <c r="C308" s="2229"/>
      <c r="D308" s="2229"/>
      <c r="E308" s="2229"/>
      <c r="F308" s="2229"/>
      <c r="G308" s="2230"/>
    </row>
    <row r="310" spans="1:13">
      <c r="A310" s="736" t="s">
        <v>1179</v>
      </c>
      <c r="B310" s="736"/>
      <c r="C310" s="736"/>
      <c r="D310" s="736"/>
      <c r="E310" s="736"/>
      <c r="F310" s="736"/>
      <c r="G310" s="736"/>
      <c r="H310" s="736"/>
      <c r="I310" s="736"/>
      <c r="J310" s="736"/>
      <c r="K310" s="736"/>
      <c r="L310" s="736"/>
      <c r="M310" s="736"/>
    </row>
    <row r="311" spans="1:13" s="113" customFormat="1" ht="13.8" thickBot="1">
      <c r="A311" s="506" t="s">
        <v>1377</v>
      </c>
      <c r="B311" s="507"/>
      <c r="C311" s="508"/>
      <c r="D311" s="509"/>
      <c r="E311" s="509"/>
      <c r="F311" s="509"/>
      <c r="G311" s="509"/>
      <c r="H311" s="509"/>
      <c r="I311" s="509"/>
      <c r="J311" s="509"/>
      <c r="K311" s="509"/>
      <c r="L311" s="509"/>
      <c r="M311" s="509"/>
    </row>
    <row r="312" spans="1:13" ht="13.8" thickBot="1">
      <c r="A312" s="2270" t="s">
        <v>1183</v>
      </c>
      <c r="B312" s="2271"/>
      <c r="C312" s="1107" t="s">
        <v>1378</v>
      </c>
      <c r="D312" s="2244" t="s">
        <v>1379</v>
      </c>
      <c r="E312" s="2245"/>
      <c r="F312" s="2318"/>
      <c r="G312" s="2319" t="s">
        <v>1380</v>
      </c>
      <c r="H312" s="2245"/>
      <c r="I312" s="2318"/>
    </row>
    <row r="313" spans="1:13" ht="27" thickBot="1">
      <c r="A313" s="2268" t="s">
        <v>1187</v>
      </c>
      <c r="B313" s="2269"/>
      <c r="C313" s="2272" t="s">
        <v>1188</v>
      </c>
      <c r="D313" s="1108" t="s">
        <v>1381</v>
      </c>
      <c r="E313" s="1108" t="s">
        <v>1382</v>
      </c>
      <c r="F313" s="1108" t="s">
        <v>1193</v>
      </c>
      <c r="G313" s="1108" t="s">
        <v>1383</v>
      </c>
      <c r="H313" s="1108" t="s">
        <v>1384</v>
      </c>
      <c r="I313" s="1346" t="s">
        <v>1385</v>
      </c>
    </row>
    <row r="314" spans="1:13">
      <c r="A314" s="2253" t="s">
        <v>1312</v>
      </c>
      <c r="B314" s="2253" t="s">
        <v>1196</v>
      </c>
      <c r="C314" s="2251"/>
      <c r="D314" s="2253" t="s">
        <v>1197</v>
      </c>
      <c r="E314" s="2253" t="s">
        <v>1288</v>
      </c>
      <c r="F314" s="866" t="s">
        <v>1200</v>
      </c>
      <c r="G314" s="866" t="s">
        <v>1357</v>
      </c>
      <c r="H314" s="2253" t="s">
        <v>1201</v>
      </c>
      <c r="I314" s="2314" t="s">
        <v>1201</v>
      </c>
    </row>
    <row r="315" spans="1:13" ht="15" thickBot="1">
      <c r="A315" s="2254"/>
      <c r="B315" s="2254"/>
      <c r="C315" s="2251"/>
      <c r="D315" s="2255"/>
      <c r="E315" s="2255"/>
      <c r="F315" s="1109" t="s">
        <v>1203</v>
      </c>
      <c r="G315" s="1109" t="s">
        <v>1386</v>
      </c>
      <c r="H315" s="2255"/>
      <c r="I315" s="2315"/>
    </row>
    <row r="316" spans="1:13" ht="29.4" thickBot="1">
      <c r="A316" s="2254"/>
      <c r="B316" s="2254"/>
      <c r="C316" s="2251"/>
      <c r="D316" s="1109"/>
      <c r="E316" s="1109" t="s">
        <v>1387</v>
      </c>
      <c r="F316" s="1109">
        <v>0.5</v>
      </c>
      <c r="G316" s="1109" t="s">
        <v>1388</v>
      </c>
      <c r="H316" s="866" t="s">
        <v>1388</v>
      </c>
      <c r="I316" s="1358" t="s">
        <v>1389</v>
      </c>
    </row>
    <row r="317" spans="1:13" ht="15" thickBot="1">
      <c r="A317" s="2278"/>
      <c r="B317" s="2255"/>
      <c r="C317" s="2277"/>
      <c r="D317" s="393" t="s">
        <v>1390</v>
      </c>
      <c r="E317" s="393" t="s">
        <v>1391</v>
      </c>
      <c r="F317" s="393" t="s">
        <v>1217</v>
      </c>
      <c r="G317" s="393" t="s">
        <v>1392</v>
      </c>
      <c r="H317" s="878" t="s">
        <v>1393</v>
      </c>
      <c r="I317" s="1349" t="s">
        <v>1394</v>
      </c>
    </row>
    <row r="318" spans="1:13" ht="14.4" thickTop="1" thickBot="1">
      <c r="A318" s="870" t="s">
        <v>1219</v>
      </c>
      <c r="B318" s="867" t="s">
        <v>1395</v>
      </c>
      <c r="C318" s="1139" t="s">
        <v>1339</v>
      </c>
      <c r="D318" s="1111">
        <f>-$H$15</f>
        <v>0</v>
      </c>
      <c r="E318" s="1111">
        <v>3</v>
      </c>
      <c r="F318" s="1131">
        <v>0.5</v>
      </c>
      <c r="G318" s="866">
        <v>20</v>
      </c>
      <c r="H318" s="1131">
        <v>20</v>
      </c>
      <c r="I318" s="1359">
        <f>G318+((0-E318)*D318*F318)-H318</f>
        <v>0</v>
      </c>
    </row>
    <row r="319" spans="1:13" ht="15" thickBot="1">
      <c r="A319" s="2280" t="s">
        <v>1396</v>
      </c>
      <c r="B319" s="2281"/>
      <c r="C319" s="2281"/>
      <c r="D319" s="2281"/>
      <c r="E319" s="2281"/>
      <c r="F319" s="2281"/>
      <c r="G319" s="2281"/>
      <c r="H319" s="2281"/>
      <c r="I319" s="2282"/>
    </row>
    <row r="321" spans="1:13" s="113" customFormat="1" ht="15" thickBot="1">
      <c r="A321" s="506" t="s">
        <v>1397</v>
      </c>
      <c r="B321" s="507"/>
      <c r="C321" s="508"/>
      <c r="D321" s="509"/>
      <c r="E321" s="509"/>
      <c r="F321" s="509"/>
      <c r="G321" s="509"/>
      <c r="H321" s="509"/>
      <c r="I321" s="509"/>
      <c r="J321" s="509"/>
      <c r="K321" s="509"/>
      <c r="L321" s="509"/>
      <c r="M321" s="509"/>
    </row>
    <row r="322" spans="1:13" ht="13.8" thickBot="1">
      <c r="A322" s="2270" t="s">
        <v>1183</v>
      </c>
      <c r="B322" s="2271"/>
      <c r="C322" s="1107" t="s">
        <v>1378</v>
      </c>
      <c r="D322" s="2244" t="s">
        <v>1322</v>
      </c>
      <c r="E322" s="2245"/>
      <c r="F322" s="2245"/>
      <c r="G322" s="2245"/>
      <c r="H322" s="2318"/>
    </row>
    <row r="323" spans="1:13" ht="27" thickBot="1">
      <c r="A323" s="2268" t="s">
        <v>1187</v>
      </c>
      <c r="B323" s="2269"/>
      <c r="C323" s="2272" t="s">
        <v>1188</v>
      </c>
      <c r="D323" s="493" t="s">
        <v>1323</v>
      </c>
      <c r="E323" s="493" t="s">
        <v>1324</v>
      </c>
      <c r="F323" s="493" t="s">
        <v>1325</v>
      </c>
      <c r="G323" s="493" t="s">
        <v>1326</v>
      </c>
      <c r="H323" s="1355" t="s">
        <v>1327</v>
      </c>
    </row>
    <row r="324" spans="1:13" ht="15" thickBot="1">
      <c r="A324" s="2253" t="s">
        <v>1398</v>
      </c>
      <c r="B324" s="2253" t="s">
        <v>1196</v>
      </c>
      <c r="C324" s="2251"/>
      <c r="D324" s="865" t="s">
        <v>1197</v>
      </c>
      <c r="E324" s="865" t="s">
        <v>1328</v>
      </c>
      <c r="F324" s="865" t="s">
        <v>1328</v>
      </c>
      <c r="G324" s="865" t="s">
        <v>1329</v>
      </c>
      <c r="H324" s="1356" t="s">
        <v>1201</v>
      </c>
    </row>
    <row r="325" spans="1:13" ht="27" thickBot="1">
      <c r="A325" s="2254"/>
      <c r="B325" s="2254"/>
      <c r="C325" s="2251"/>
      <c r="D325" s="1109" t="s">
        <v>1204</v>
      </c>
      <c r="E325" s="1109" t="s">
        <v>1330</v>
      </c>
      <c r="F325" s="1109" t="s">
        <v>1399</v>
      </c>
      <c r="G325" s="866" t="s">
        <v>1400</v>
      </c>
      <c r="H325" s="1352" t="s">
        <v>1401</v>
      </c>
    </row>
    <row r="326" spans="1:13" ht="15" thickBot="1">
      <c r="A326" s="2278"/>
      <c r="B326" s="2278"/>
      <c r="C326" s="2277"/>
      <c r="D326" s="872" t="s">
        <v>1402</v>
      </c>
      <c r="E326" s="872" t="s">
        <v>1334</v>
      </c>
      <c r="F326" s="872" t="s">
        <v>1335</v>
      </c>
      <c r="G326" s="494" t="s">
        <v>1403</v>
      </c>
      <c r="H326" s="1349" t="s">
        <v>1337</v>
      </c>
    </row>
    <row r="327" spans="1:13" ht="14.4" thickTop="1" thickBot="1">
      <c r="A327" s="870" t="s">
        <v>1219</v>
      </c>
      <c r="B327" s="870" t="s">
        <v>1395</v>
      </c>
      <c r="C327" s="1139" t="s">
        <v>1339</v>
      </c>
      <c r="D327" s="1111">
        <f>-$H$15</f>
        <v>0</v>
      </c>
      <c r="E327" s="1111">
        <v>2.1</v>
      </c>
      <c r="F327" s="1139">
        <v>0</v>
      </c>
      <c r="G327" s="1139">
        <v>1</v>
      </c>
      <c r="H327" s="1357">
        <f>D327*(E327-F327)/G327</f>
        <v>0</v>
      </c>
    </row>
    <row r="328" spans="1:13" ht="14.4">
      <c r="A328" s="2323" t="s">
        <v>1404</v>
      </c>
      <c r="B328" s="2324"/>
      <c r="C328" s="2324"/>
      <c r="D328" s="2324"/>
      <c r="E328" s="2324"/>
      <c r="F328" s="2324"/>
      <c r="G328" s="2324"/>
      <c r="H328" s="2325"/>
    </row>
    <row r="329" spans="1:13" ht="15" thickBot="1">
      <c r="A329" s="2320" t="s">
        <v>1405</v>
      </c>
      <c r="B329" s="2321"/>
      <c r="C329" s="2321"/>
      <c r="D329" s="2321"/>
      <c r="E329" s="2321"/>
      <c r="F329" s="2321"/>
      <c r="G329" s="2321"/>
      <c r="H329" s="2322"/>
    </row>
    <row r="331" spans="1:13" s="113" customFormat="1" ht="13.8" thickBot="1">
      <c r="A331" s="506" t="s">
        <v>1406</v>
      </c>
      <c r="B331" s="507"/>
      <c r="C331" s="508"/>
      <c r="D331" s="509"/>
      <c r="E331" s="509"/>
      <c r="F331" s="509"/>
      <c r="G331" s="509"/>
      <c r="H331" s="509"/>
      <c r="I331" s="509"/>
      <c r="J331" s="509"/>
      <c r="K331" s="509"/>
      <c r="L331" s="509"/>
      <c r="M331" s="509"/>
    </row>
    <row r="332" spans="1:13" ht="13.8" thickBot="1">
      <c r="A332" s="2270" t="s">
        <v>1183</v>
      </c>
      <c r="B332" s="2271"/>
      <c r="C332" s="1107" t="s">
        <v>1378</v>
      </c>
      <c r="D332" s="2244" t="s">
        <v>1345</v>
      </c>
      <c r="E332" s="2245"/>
      <c r="F332" s="2245"/>
      <c r="G332" s="2245"/>
      <c r="H332" s="2245"/>
      <c r="I332" s="2245"/>
      <c r="J332" s="2245"/>
      <c r="K332" s="2245"/>
      <c r="L332" s="2245"/>
      <c r="M332" s="2246"/>
    </row>
    <row r="333" spans="1:13" ht="49.5" customHeight="1">
      <c r="A333" s="2122" t="s">
        <v>1187</v>
      </c>
      <c r="B333" s="2272"/>
      <c r="C333" s="2253" t="s">
        <v>1188</v>
      </c>
      <c r="D333" s="2274" t="s">
        <v>1407</v>
      </c>
      <c r="E333" s="2274" t="s">
        <v>1408</v>
      </c>
      <c r="F333" s="2274" t="s">
        <v>1349</v>
      </c>
      <c r="G333" s="2274" t="s">
        <v>1350</v>
      </c>
      <c r="H333" s="2274" t="s">
        <v>1351</v>
      </c>
      <c r="I333" s="2274" t="s">
        <v>1352</v>
      </c>
      <c r="J333" s="2274" t="s">
        <v>1353</v>
      </c>
      <c r="K333" s="2274" t="s">
        <v>1354</v>
      </c>
      <c r="L333" s="2274" t="s">
        <v>1355</v>
      </c>
      <c r="M333" s="2326" t="s">
        <v>1356</v>
      </c>
    </row>
    <row r="334" spans="1:13">
      <c r="A334" s="2115"/>
      <c r="B334" s="2251"/>
      <c r="C334" s="2254"/>
      <c r="D334" s="2283"/>
      <c r="E334" s="2283"/>
      <c r="F334" s="2283"/>
      <c r="G334" s="2283"/>
      <c r="H334" s="2283"/>
      <c r="I334" s="2283"/>
      <c r="J334" s="2283"/>
      <c r="K334" s="2283"/>
      <c r="L334" s="2283"/>
      <c r="M334" s="2327"/>
    </row>
    <row r="335" spans="1:13" ht="13.8" thickBot="1">
      <c r="A335" s="2120"/>
      <c r="B335" s="2273"/>
      <c r="C335" s="2254"/>
      <c r="D335" s="2275"/>
      <c r="E335" s="2275"/>
      <c r="F335" s="2275"/>
      <c r="G335" s="2275"/>
      <c r="H335" s="2275"/>
      <c r="I335" s="2275"/>
      <c r="J335" s="2275"/>
      <c r="K335" s="2275"/>
      <c r="L335" s="2275"/>
      <c r="M335" s="2328"/>
    </row>
    <row r="336" spans="1:13">
      <c r="A336" s="2253" t="s">
        <v>1312</v>
      </c>
      <c r="B336" s="2253" t="s">
        <v>1196</v>
      </c>
      <c r="C336" s="2254"/>
      <c r="D336" s="2253" t="s">
        <v>1197</v>
      </c>
      <c r="E336" s="2253" t="s">
        <v>1328</v>
      </c>
      <c r="F336" s="2253" t="s">
        <v>1329</v>
      </c>
      <c r="G336" s="2253" t="s">
        <v>1358</v>
      </c>
      <c r="H336" s="2253" t="s">
        <v>1358</v>
      </c>
      <c r="I336" s="2253" t="s">
        <v>1358</v>
      </c>
      <c r="J336" s="2253" t="s">
        <v>1358</v>
      </c>
      <c r="K336" s="2253" t="s">
        <v>1358</v>
      </c>
      <c r="L336" s="2253" t="s">
        <v>1358</v>
      </c>
      <c r="M336" s="2314" t="s">
        <v>1201</v>
      </c>
    </row>
    <row r="337" spans="1:13" ht="13.8" thickBot="1">
      <c r="A337" s="2254"/>
      <c r="B337" s="2254"/>
      <c r="C337" s="2254"/>
      <c r="D337" s="2255"/>
      <c r="E337" s="2255"/>
      <c r="F337" s="2255"/>
      <c r="G337" s="2255"/>
      <c r="H337" s="2255"/>
      <c r="I337" s="2255"/>
      <c r="J337" s="2255"/>
      <c r="K337" s="2255"/>
      <c r="L337" s="2255"/>
      <c r="M337" s="2315"/>
    </row>
    <row r="338" spans="1:13" ht="14.4">
      <c r="A338" s="2254"/>
      <c r="B338" s="2254"/>
      <c r="C338" s="2254"/>
      <c r="D338" s="2253"/>
      <c r="E338" s="2253" t="s">
        <v>1409</v>
      </c>
      <c r="F338" s="2253" t="s">
        <v>1361</v>
      </c>
      <c r="G338" s="2253" t="s">
        <v>1410</v>
      </c>
      <c r="H338" s="2253" t="s">
        <v>1410</v>
      </c>
      <c r="I338" s="2253" t="s">
        <v>1410</v>
      </c>
      <c r="J338" s="2253" t="s">
        <v>1410</v>
      </c>
      <c r="K338" s="2253" t="s">
        <v>1410</v>
      </c>
      <c r="L338" s="2253" t="s">
        <v>1410</v>
      </c>
      <c r="M338" s="1351" t="s">
        <v>1373</v>
      </c>
    </row>
    <row r="339" spans="1:13" ht="27" thickBot="1">
      <c r="A339" s="2254"/>
      <c r="B339" s="2254"/>
      <c r="C339" s="2254"/>
      <c r="D339" s="2255"/>
      <c r="E339" s="2255"/>
      <c r="F339" s="2255"/>
      <c r="G339" s="2255"/>
      <c r="H339" s="2255"/>
      <c r="I339" s="2255"/>
      <c r="J339" s="2255"/>
      <c r="K339" s="2255"/>
      <c r="L339" s="2255"/>
      <c r="M339" s="1352" t="s">
        <v>1411</v>
      </c>
    </row>
    <row r="340" spans="1:13" ht="15" thickBot="1">
      <c r="A340" s="2278"/>
      <c r="B340" s="2278"/>
      <c r="C340" s="2278"/>
      <c r="D340" s="393" t="s">
        <v>1365</v>
      </c>
      <c r="E340" s="393" t="s">
        <v>1366</v>
      </c>
      <c r="F340" s="393" t="s">
        <v>1278</v>
      </c>
      <c r="G340" s="393" t="s">
        <v>1367</v>
      </c>
      <c r="H340" s="393" t="s">
        <v>1368</v>
      </c>
      <c r="I340" s="393" t="s">
        <v>1369</v>
      </c>
      <c r="J340" s="393" t="s">
        <v>1370</v>
      </c>
      <c r="K340" s="393" t="s">
        <v>1371</v>
      </c>
      <c r="L340" s="393" t="s">
        <v>1372</v>
      </c>
      <c r="M340" s="1353" t="s">
        <v>1373</v>
      </c>
    </row>
    <row r="341" spans="1:13" ht="14.4" thickTop="1" thickBot="1">
      <c r="A341" s="870" t="s">
        <v>1219</v>
      </c>
      <c r="B341" s="870" t="s">
        <v>1395</v>
      </c>
      <c r="C341" s="1139" t="s">
        <v>1339</v>
      </c>
      <c r="D341" s="1111">
        <f>-$H$15</f>
        <v>0</v>
      </c>
      <c r="E341" s="1131">
        <v>34</v>
      </c>
      <c r="F341" s="1139">
        <v>20</v>
      </c>
      <c r="G341" s="929">
        <v>1</v>
      </c>
      <c r="H341" s="929">
        <v>1</v>
      </c>
      <c r="I341" s="929">
        <v>1</v>
      </c>
      <c r="J341" s="929">
        <v>0.48</v>
      </c>
      <c r="K341" s="929">
        <v>1</v>
      </c>
      <c r="L341" s="929">
        <v>0.92</v>
      </c>
      <c r="M341" s="1354">
        <f>(ABS((E341*G341*H341*I341)-(E341*J341*K341*L341))/F341)*D341</f>
        <v>0</v>
      </c>
    </row>
    <row r="342" spans="1:13" ht="15" thickBot="1">
      <c r="A342" s="2280" t="s">
        <v>1396</v>
      </c>
      <c r="B342" s="2281"/>
      <c r="C342" s="2281"/>
      <c r="D342" s="2281"/>
      <c r="E342" s="2281"/>
      <c r="F342" s="2281"/>
      <c r="G342" s="2281"/>
      <c r="H342" s="2281"/>
      <c r="I342" s="2281"/>
      <c r="J342" s="2281"/>
      <c r="K342" s="2281"/>
      <c r="L342" s="2281"/>
      <c r="M342" s="2331"/>
    </row>
    <row r="344" spans="1:13" s="113" customFormat="1" ht="13.8" thickBot="1">
      <c r="A344" s="506" t="s">
        <v>1412</v>
      </c>
      <c r="B344" s="507"/>
      <c r="C344" s="508"/>
      <c r="D344" s="509"/>
      <c r="E344" s="509"/>
      <c r="F344" s="509"/>
      <c r="G344" s="509"/>
      <c r="H344" s="509"/>
      <c r="I344" s="509"/>
      <c r="J344" s="509"/>
      <c r="K344" s="509"/>
      <c r="L344" s="509"/>
      <c r="M344" s="509"/>
    </row>
    <row r="345" spans="1:13" ht="13.8" thickBot="1">
      <c r="A345" s="2270" t="s">
        <v>1183</v>
      </c>
      <c r="B345" s="2271"/>
      <c r="C345" s="1107" t="s">
        <v>1378</v>
      </c>
      <c r="D345" s="2244" t="s">
        <v>1301</v>
      </c>
      <c r="E345" s="2245"/>
      <c r="F345" s="2318"/>
    </row>
    <row r="346" spans="1:13" ht="27" thickBot="1">
      <c r="A346" s="2268" t="s">
        <v>1187</v>
      </c>
      <c r="B346" s="2269"/>
      <c r="C346" s="2272" t="s">
        <v>1188</v>
      </c>
      <c r="D346" s="1108" t="s">
        <v>1413</v>
      </c>
      <c r="E346" s="1108" t="s">
        <v>1303</v>
      </c>
      <c r="F346" s="1346" t="s">
        <v>1414</v>
      </c>
    </row>
    <row r="347" spans="1:13" ht="15" thickBot="1">
      <c r="A347" s="2253" t="s">
        <v>1415</v>
      </c>
      <c r="B347" s="2253" t="s">
        <v>1196</v>
      </c>
      <c r="C347" s="2251"/>
      <c r="D347" s="1139" t="s">
        <v>1197</v>
      </c>
      <c r="E347" s="1139" t="s">
        <v>1305</v>
      </c>
      <c r="F347" s="1347" t="s">
        <v>1201</v>
      </c>
    </row>
    <row r="348" spans="1:13" ht="15" thickBot="1">
      <c r="A348" s="2254"/>
      <c r="B348" s="2254"/>
      <c r="C348" s="2251"/>
      <c r="D348" s="1139"/>
      <c r="E348" s="1139" t="s">
        <v>1416</v>
      </c>
      <c r="F348" s="1348" t="s">
        <v>1307</v>
      </c>
    </row>
    <row r="349" spans="1:13" ht="15" thickBot="1">
      <c r="A349" s="2278"/>
      <c r="B349" s="2278"/>
      <c r="C349" s="2277"/>
      <c r="D349" s="393" t="s">
        <v>1213</v>
      </c>
      <c r="E349" s="393" t="s">
        <v>886</v>
      </c>
      <c r="F349" s="1349" t="s">
        <v>1308</v>
      </c>
    </row>
    <row r="350" spans="1:13" ht="14.4" thickTop="1" thickBot="1">
      <c r="A350" s="870" t="s">
        <v>1219</v>
      </c>
      <c r="B350" s="870" t="s">
        <v>1395</v>
      </c>
      <c r="C350" s="1139" t="s">
        <v>1339</v>
      </c>
      <c r="D350" s="1111">
        <f>-$H$15</f>
        <v>0</v>
      </c>
      <c r="E350" s="1131">
        <v>20</v>
      </c>
      <c r="F350" s="1350">
        <f>D350*E350</f>
        <v>0</v>
      </c>
    </row>
    <row r="351" spans="1:13" ht="15" thickBot="1">
      <c r="A351" s="2330" t="s">
        <v>1396</v>
      </c>
      <c r="B351" s="2229"/>
      <c r="C351" s="2229"/>
      <c r="D351" s="2229"/>
      <c r="E351" s="2229"/>
      <c r="F351" s="2230"/>
    </row>
  </sheetData>
  <mergeCells count="351">
    <mergeCell ref="J238:J239"/>
    <mergeCell ref="E240:E241"/>
    <mergeCell ref="F240:F241"/>
    <mergeCell ref="P8:Q8"/>
    <mergeCell ref="K212:K213"/>
    <mergeCell ref="A214:A217"/>
    <mergeCell ref="B214:B217"/>
    <mergeCell ref="E214:E215"/>
    <mergeCell ref="H214:H215"/>
    <mergeCell ref="I214:I215"/>
    <mergeCell ref="K214:K215"/>
    <mergeCell ref="A211:B211"/>
    <mergeCell ref="A212:B213"/>
    <mergeCell ref="C212:C217"/>
    <mergeCell ref="E212:E213"/>
    <mergeCell ref="H8:H9"/>
    <mergeCell ref="A193:A207"/>
    <mergeCell ref="F47:G47"/>
    <mergeCell ref="F35:G35"/>
    <mergeCell ref="B193:B207"/>
    <mergeCell ref="F194:G194"/>
    <mergeCell ref="F195:G195"/>
    <mergeCell ref="F196:G196"/>
    <mergeCell ref="F197:G197"/>
    <mergeCell ref="F243:G243"/>
    <mergeCell ref="F250:G250"/>
    <mergeCell ref="F108:G108"/>
    <mergeCell ref="B94:B108"/>
    <mergeCell ref="A94:A108"/>
    <mergeCell ref="A351:F351"/>
    <mergeCell ref="A342:M342"/>
    <mergeCell ref="A345:B345"/>
    <mergeCell ref="D345:F345"/>
    <mergeCell ref="A346:B346"/>
    <mergeCell ref="C346:C349"/>
    <mergeCell ref="A347:A349"/>
    <mergeCell ref="B347:B349"/>
    <mergeCell ref="I336:I337"/>
    <mergeCell ref="J336:J337"/>
    <mergeCell ref="K336:K337"/>
    <mergeCell ref="L336:L337"/>
    <mergeCell ref="M336:M337"/>
    <mergeCell ref="D338:D339"/>
    <mergeCell ref="E338:E339"/>
    <mergeCell ref="F338:F339"/>
    <mergeCell ref="G338:G339"/>
    <mergeCell ref="H338:H339"/>
    <mergeCell ref="I338:I339"/>
    <mergeCell ref="J338:J339"/>
    <mergeCell ref="K338:K339"/>
    <mergeCell ref="L338:L339"/>
    <mergeCell ref="K333:K335"/>
    <mergeCell ref="L333:L335"/>
    <mergeCell ref="M333:M335"/>
    <mergeCell ref="A336:A340"/>
    <mergeCell ref="B336:B340"/>
    <mergeCell ref="D336:D337"/>
    <mergeCell ref="E336:E337"/>
    <mergeCell ref="F336:F337"/>
    <mergeCell ref="G336:G337"/>
    <mergeCell ref="H336:H337"/>
    <mergeCell ref="A333:B335"/>
    <mergeCell ref="C333:C340"/>
    <mergeCell ref="D333:D335"/>
    <mergeCell ref="E333:E335"/>
    <mergeCell ref="F333:F335"/>
    <mergeCell ref="G333:G335"/>
    <mergeCell ref="H333:H335"/>
    <mergeCell ref="I333:I335"/>
    <mergeCell ref="J333:J335"/>
    <mergeCell ref="A312:B312"/>
    <mergeCell ref="D312:F312"/>
    <mergeCell ref="G312:I312"/>
    <mergeCell ref="A267:A268"/>
    <mergeCell ref="A270:A271"/>
    <mergeCell ref="B270:B271"/>
    <mergeCell ref="B267:B268"/>
    <mergeCell ref="A329:H329"/>
    <mergeCell ref="A332:B332"/>
    <mergeCell ref="D332:M332"/>
    <mergeCell ref="A328:H328"/>
    <mergeCell ref="A319:I319"/>
    <mergeCell ref="A322:B322"/>
    <mergeCell ref="D322:H322"/>
    <mergeCell ref="A323:B323"/>
    <mergeCell ref="C323:C326"/>
    <mergeCell ref="A324:A326"/>
    <mergeCell ref="B324:B326"/>
    <mergeCell ref="A313:B313"/>
    <mergeCell ref="C313:C317"/>
    <mergeCell ref="A314:A317"/>
    <mergeCell ref="B314:B317"/>
    <mergeCell ref="D314:D315"/>
    <mergeCell ref="E314:E315"/>
    <mergeCell ref="H314:H315"/>
    <mergeCell ref="I314:I315"/>
    <mergeCell ref="A262:B262"/>
    <mergeCell ref="A263:B263"/>
    <mergeCell ref="C263:C266"/>
    <mergeCell ref="A264:A266"/>
    <mergeCell ref="B264:B266"/>
    <mergeCell ref="A238:A242"/>
    <mergeCell ref="B238:B242"/>
    <mergeCell ref="E238:E239"/>
    <mergeCell ref="F238:F239"/>
    <mergeCell ref="C237:C242"/>
    <mergeCell ref="A277:B277"/>
    <mergeCell ref="A278:B280"/>
    <mergeCell ref="C278:C285"/>
    <mergeCell ref="G278:G280"/>
    <mergeCell ref="H278:H280"/>
    <mergeCell ref="I278:I280"/>
    <mergeCell ref="A304:A305"/>
    <mergeCell ref="B304:B305"/>
    <mergeCell ref="A306:C306"/>
    <mergeCell ref="A307:C307"/>
    <mergeCell ref="A301:A302"/>
    <mergeCell ref="B301:B302"/>
    <mergeCell ref="A243:A257"/>
    <mergeCell ref="B243:B257"/>
    <mergeCell ref="A259:I259"/>
    <mergeCell ref="H212:H213"/>
    <mergeCell ref="I212:I213"/>
    <mergeCell ref="A158:D158"/>
    <mergeCell ref="A169:A182"/>
    <mergeCell ref="B169:B182"/>
    <mergeCell ref="A187:B187"/>
    <mergeCell ref="A236:B236"/>
    <mergeCell ref="A237:B237"/>
    <mergeCell ref="A188:B188"/>
    <mergeCell ref="A189:A192"/>
    <mergeCell ref="I240:I241"/>
    <mergeCell ref="A208:D208"/>
    <mergeCell ref="B164:B168"/>
    <mergeCell ref="A164:A168"/>
    <mergeCell ref="C163:C168"/>
    <mergeCell ref="C175:D175"/>
    <mergeCell ref="C182:D182"/>
    <mergeCell ref="A183:D183"/>
    <mergeCell ref="C199:D199"/>
    <mergeCell ref="F162:H162"/>
    <mergeCell ref="F192:G192"/>
    <mergeCell ref="F198:G198"/>
    <mergeCell ref="F199:G199"/>
    <mergeCell ref="F201:G201"/>
    <mergeCell ref="F202:G202"/>
    <mergeCell ref="F203:G203"/>
    <mergeCell ref="F204:G204"/>
    <mergeCell ref="F205:G205"/>
    <mergeCell ref="F206:G206"/>
    <mergeCell ref="F207:G207"/>
    <mergeCell ref="C188:C192"/>
    <mergeCell ref="F188:G188"/>
    <mergeCell ref="B189:B192"/>
    <mergeCell ref="E189:E190"/>
    <mergeCell ref="F189:G189"/>
    <mergeCell ref="A143:A157"/>
    <mergeCell ref="B143:B157"/>
    <mergeCell ref="A135:I135"/>
    <mergeCell ref="A138:B138"/>
    <mergeCell ref="A139:B139"/>
    <mergeCell ref="C139:C142"/>
    <mergeCell ref="A140:A142"/>
    <mergeCell ref="B140:B142"/>
    <mergeCell ref="D139:D142"/>
    <mergeCell ref="C149:D149"/>
    <mergeCell ref="C157:D157"/>
    <mergeCell ref="D138:G138"/>
    <mergeCell ref="H88:H89"/>
    <mergeCell ref="I88:I89"/>
    <mergeCell ref="J88:J89"/>
    <mergeCell ref="D88:D93"/>
    <mergeCell ref="D87:K87"/>
    <mergeCell ref="E116:E117"/>
    <mergeCell ref="F116:F117"/>
    <mergeCell ref="I116:I117"/>
    <mergeCell ref="A119:A133"/>
    <mergeCell ref="B119:B133"/>
    <mergeCell ref="A112:B112"/>
    <mergeCell ref="D112:H112"/>
    <mergeCell ref="A113:B113"/>
    <mergeCell ref="C113:C118"/>
    <mergeCell ref="A114:A118"/>
    <mergeCell ref="B114:B118"/>
    <mergeCell ref="E114:E115"/>
    <mergeCell ref="D113:D118"/>
    <mergeCell ref="I112:J112"/>
    <mergeCell ref="A35:A54"/>
    <mergeCell ref="B35:B54"/>
    <mergeCell ref="D63:J63"/>
    <mergeCell ref="C46:D46"/>
    <mergeCell ref="C54:D54"/>
    <mergeCell ref="A69:A83"/>
    <mergeCell ref="D28:D34"/>
    <mergeCell ref="D64:D68"/>
    <mergeCell ref="I18:I19"/>
    <mergeCell ref="A28:B28"/>
    <mergeCell ref="F28:H28"/>
    <mergeCell ref="I28:J28"/>
    <mergeCell ref="A18:C19"/>
    <mergeCell ref="D18:D19"/>
    <mergeCell ref="E18:E19"/>
    <mergeCell ref="J30:J31"/>
    <mergeCell ref="E32:E33"/>
    <mergeCell ref="H32:H33"/>
    <mergeCell ref="J32:J33"/>
    <mergeCell ref="A29:B29"/>
    <mergeCell ref="B69:B83"/>
    <mergeCell ref="C29:C34"/>
    <mergeCell ref="A30:A34"/>
    <mergeCell ref="B30:B34"/>
    <mergeCell ref="F69:G69"/>
    <mergeCell ref="H18:H19"/>
    <mergeCell ref="K88:K89"/>
    <mergeCell ref="F114:F115"/>
    <mergeCell ref="J114:J115"/>
    <mergeCell ref="F190:G190"/>
    <mergeCell ref="F191:G191"/>
    <mergeCell ref="F212:F213"/>
    <mergeCell ref="G212:G213"/>
    <mergeCell ref="J212:J213"/>
    <mergeCell ref="D211:K211"/>
    <mergeCell ref="D212:D217"/>
    <mergeCell ref="F208:G208"/>
    <mergeCell ref="F68:G68"/>
    <mergeCell ref="F64:G64"/>
    <mergeCell ref="E65:E66"/>
    <mergeCell ref="E30:E31"/>
    <mergeCell ref="G30:G31"/>
    <mergeCell ref="F65:G65"/>
    <mergeCell ref="F66:G66"/>
    <mergeCell ref="F67:G67"/>
    <mergeCell ref="E90:E91"/>
    <mergeCell ref="H90:H91"/>
    <mergeCell ref="I90:I91"/>
    <mergeCell ref="A8:B9"/>
    <mergeCell ref="D8:E8"/>
    <mergeCell ref="F8:G8"/>
    <mergeCell ref="A10:B10"/>
    <mergeCell ref="A11:B11"/>
    <mergeCell ref="A12:B12"/>
    <mergeCell ref="G18:G19"/>
    <mergeCell ref="A13:B13"/>
    <mergeCell ref="A15:B15"/>
    <mergeCell ref="A16:B16"/>
    <mergeCell ref="C8:C9"/>
    <mergeCell ref="A14:B14"/>
    <mergeCell ref="J278:J280"/>
    <mergeCell ref="K278:K280"/>
    <mergeCell ref="L278:L280"/>
    <mergeCell ref="M278:M280"/>
    <mergeCell ref="A281:A285"/>
    <mergeCell ref="B281:B285"/>
    <mergeCell ref="D281:D282"/>
    <mergeCell ref="F281:F282"/>
    <mergeCell ref="G281:G282"/>
    <mergeCell ref="H281:H282"/>
    <mergeCell ref="I281:I282"/>
    <mergeCell ref="J281:J282"/>
    <mergeCell ref="K281:K282"/>
    <mergeCell ref="J283:J284"/>
    <mergeCell ref="K283:K284"/>
    <mergeCell ref="L283:L284"/>
    <mergeCell ref="L281:L282"/>
    <mergeCell ref="D278:D280"/>
    <mergeCell ref="E278:E280"/>
    <mergeCell ref="F278:F280"/>
    <mergeCell ref="A288:C288"/>
    <mergeCell ref="D283:D284"/>
    <mergeCell ref="E283:E284"/>
    <mergeCell ref="F283:F284"/>
    <mergeCell ref="G283:G284"/>
    <mergeCell ref="H283:H284"/>
    <mergeCell ref="I283:I284"/>
    <mergeCell ref="A303:C303"/>
    <mergeCell ref="A296:B296"/>
    <mergeCell ref="A297:B297"/>
    <mergeCell ref="C297:C300"/>
    <mergeCell ref="A298:A300"/>
    <mergeCell ref="B298:B300"/>
    <mergeCell ref="A289:A290"/>
    <mergeCell ref="B289:B290"/>
    <mergeCell ref="A291:C291"/>
    <mergeCell ref="A292:C292"/>
    <mergeCell ref="A293:M293"/>
    <mergeCell ref="A55:D55"/>
    <mergeCell ref="A84:D84"/>
    <mergeCell ref="C108:D108"/>
    <mergeCell ref="C100:D100"/>
    <mergeCell ref="A109:D109"/>
    <mergeCell ref="C125:D125"/>
    <mergeCell ref="C133:D133"/>
    <mergeCell ref="A286:A287"/>
    <mergeCell ref="B286:B287"/>
    <mergeCell ref="D277:M277"/>
    <mergeCell ref="A63:B63"/>
    <mergeCell ref="A64:B64"/>
    <mergeCell ref="C64:C68"/>
    <mergeCell ref="A65:A68"/>
    <mergeCell ref="B65:B68"/>
    <mergeCell ref="A90:A93"/>
    <mergeCell ref="B90:B93"/>
    <mergeCell ref="K90:K91"/>
    <mergeCell ref="A87:B87"/>
    <mergeCell ref="A88:B89"/>
    <mergeCell ref="C88:C93"/>
    <mergeCell ref="E88:E89"/>
    <mergeCell ref="F88:F89"/>
    <mergeCell ref="G88:G89"/>
    <mergeCell ref="A134:D134"/>
    <mergeCell ref="F84:G84"/>
    <mergeCell ref="F74:G74"/>
    <mergeCell ref="F75:G75"/>
    <mergeCell ref="F76:G76"/>
    <mergeCell ref="F77:G77"/>
    <mergeCell ref="F78:G78"/>
    <mergeCell ref="F79:G79"/>
    <mergeCell ref="F70:G70"/>
    <mergeCell ref="F71:G71"/>
    <mergeCell ref="C75:D75"/>
    <mergeCell ref="C83:D83"/>
    <mergeCell ref="F72:G72"/>
    <mergeCell ref="F73:G73"/>
    <mergeCell ref="F80:G80"/>
    <mergeCell ref="F81:G81"/>
    <mergeCell ref="F82:G82"/>
    <mergeCell ref="F83:G83"/>
    <mergeCell ref="A308:G308"/>
    <mergeCell ref="A17:B17"/>
    <mergeCell ref="A258:D258"/>
    <mergeCell ref="D262:I262"/>
    <mergeCell ref="D263:D266"/>
    <mergeCell ref="A269:D269"/>
    <mergeCell ref="A272:D272"/>
    <mergeCell ref="A273:D273"/>
    <mergeCell ref="A274:I274"/>
    <mergeCell ref="D296:G296"/>
    <mergeCell ref="D297:D300"/>
    <mergeCell ref="C224:D224"/>
    <mergeCell ref="C232:D232"/>
    <mergeCell ref="A218:A232"/>
    <mergeCell ref="B218:B232"/>
    <mergeCell ref="A233:D233"/>
    <mergeCell ref="D236:I236"/>
    <mergeCell ref="D237:D242"/>
    <mergeCell ref="C249:D249"/>
    <mergeCell ref="C257:D257"/>
    <mergeCell ref="D163:D168"/>
    <mergeCell ref="D187:J187"/>
    <mergeCell ref="D188:D192"/>
    <mergeCell ref="C207:D207"/>
  </mergeCells>
  <dataValidations count="1">
    <dataValidation type="list" allowBlank="1" showInputMessage="1" showErrorMessage="1" sqref="A169:A182 A243:A257 A193 A218" xr:uid="{00000000-0002-0000-1100-000000000000}">
      <formula1>$O$9:$O$13</formula1>
    </dataValidation>
  </dataValidations>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1000000}">
          <x14:formula1>
            <xm:f>'V.1 Livestock'!$T$11:$T$14</xm:f>
          </x14:formula1>
          <xm:sqref>C10:C16 D36:D37 D40:D45 D48:D51 D53 D70:D74 D77:D82 D95:D99 D102:D107 D120 D122:D124 D127:D132 D144 D146:D148 D151:D156 D170:D174 D177:D181 D194:D198 D201:D206 D219:D223 D226:D231 D244:D248 D251:D256 D267:D268 D270:D271 D301:D302 D304:D305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AS141"/>
  <sheetViews>
    <sheetView zoomScale="55" zoomScaleNormal="55" workbookViewId="0">
      <selection activeCell="H34" sqref="H34"/>
    </sheetView>
  </sheetViews>
  <sheetFormatPr defaultColWidth="8.6640625" defaultRowHeight="13.2"/>
  <cols>
    <col min="1" max="2" width="15.44140625" style="99" customWidth="1"/>
    <col min="3" max="3" width="28.44140625" style="99" customWidth="1"/>
    <col min="4" max="6" width="25.44140625" style="99" customWidth="1"/>
    <col min="7" max="7" width="34.6640625" style="99" customWidth="1"/>
    <col min="8" max="8" width="33.6640625" style="99" customWidth="1"/>
    <col min="9" max="13" width="25.44140625" style="99" customWidth="1"/>
    <col min="14" max="16" width="17.44140625" style="99" bestFit="1" customWidth="1"/>
    <col min="17" max="17" width="16" style="99" customWidth="1"/>
    <col min="18" max="18" width="15.44140625" style="99" customWidth="1"/>
    <col min="19" max="19" width="13.33203125" style="99" bestFit="1" customWidth="1"/>
    <col min="20" max="20" width="14.44140625" style="99" customWidth="1"/>
    <col min="21" max="21" width="15.44140625" style="99" customWidth="1"/>
    <col min="22" max="16384" width="8.6640625" style="99"/>
  </cols>
  <sheetData>
    <row r="1" spans="1:13" s="205" customFormat="1">
      <c r="A1" s="1474" t="s">
        <v>1147</v>
      </c>
      <c r="B1" s="1474"/>
      <c r="C1" s="1474"/>
      <c r="D1" s="1474"/>
      <c r="E1" s="1474"/>
      <c r="F1" s="1474"/>
      <c r="G1" s="1474"/>
      <c r="H1" s="1474"/>
      <c r="I1" s="1474"/>
      <c r="J1" s="1474"/>
      <c r="K1" s="1474"/>
      <c r="L1" s="1475"/>
    </row>
    <row r="2" spans="1:13">
      <c r="A2" s="1476" t="s">
        <v>1155</v>
      </c>
      <c r="B2" s="1477"/>
      <c r="C2" s="1477"/>
      <c r="D2" s="1477"/>
      <c r="E2" s="1477"/>
      <c r="F2" s="1477"/>
      <c r="G2" s="1477"/>
      <c r="H2" s="1477"/>
      <c r="I2" s="1477"/>
      <c r="J2" s="1477"/>
      <c r="K2" s="1477"/>
      <c r="L2" s="1477"/>
      <c r="M2" s="128"/>
    </row>
    <row r="4" spans="1:13">
      <c r="A4" s="120" t="s">
        <v>254</v>
      </c>
      <c r="B4" s="1413">
        <f>'City information'!$C$4</f>
        <v>0</v>
      </c>
      <c r="C4" s="120"/>
      <c r="D4" s="120"/>
      <c r="E4" s="120"/>
      <c r="F4" s="120"/>
      <c r="G4" s="120"/>
      <c r="H4" s="120"/>
      <c r="I4" s="120"/>
      <c r="J4" s="120"/>
      <c r="K4" s="120"/>
      <c r="L4" s="120"/>
      <c r="M4" s="126"/>
    </row>
    <row r="5" spans="1:13">
      <c r="A5" s="120" t="s">
        <v>140</v>
      </c>
      <c r="B5" s="1413">
        <f>'City information'!$C$5</f>
        <v>2562</v>
      </c>
      <c r="C5" s="120"/>
      <c r="D5" s="1727"/>
      <c r="E5" s="120"/>
      <c r="F5" s="120"/>
      <c r="G5" s="120"/>
      <c r="H5" s="120"/>
      <c r="I5" s="120"/>
      <c r="J5" s="120"/>
      <c r="K5" s="120"/>
      <c r="L5" s="120"/>
      <c r="M5" s="126"/>
    </row>
    <row r="7" spans="1:13">
      <c r="A7" s="111" t="s">
        <v>447</v>
      </c>
      <c r="B7" s="112"/>
      <c r="C7" s="111"/>
      <c r="D7" s="111"/>
      <c r="E7" s="111"/>
      <c r="F7" s="111"/>
      <c r="G7" s="111"/>
      <c r="H7" s="111"/>
      <c r="I7" s="111"/>
      <c r="J7" s="111"/>
      <c r="K7" s="111"/>
      <c r="L7" s="111"/>
    </row>
    <row r="8" spans="1:13">
      <c r="A8" s="2334" t="s">
        <v>1156</v>
      </c>
      <c r="B8" s="2335"/>
      <c r="C8" s="2334" t="s">
        <v>2434</v>
      </c>
      <c r="D8" s="2350" t="s">
        <v>2441</v>
      </c>
      <c r="E8" s="2351"/>
      <c r="F8" s="2285" t="s">
        <v>2444</v>
      </c>
      <c r="G8" s="2285"/>
      <c r="H8" s="2348" t="s">
        <v>2445</v>
      </c>
    </row>
    <row r="9" spans="1:13">
      <c r="A9" s="2336"/>
      <c r="B9" s="2337"/>
      <c r="C9" s="2336"/>
      <c r="D9" s="1709" t="s">
        <v>2442</v>
      </c>
      <c r="E9" s="1710" t="s">
        <v>2443</v>
      </c>
      <c r="F9" s="1709" t="s">
        <v>2442</v>
      </c>
      <c r="G9" s="1710" t="s">
        <v>2443</v>
      </c>
      <c r="H9" s="2349"/>
    </row>
    <row r="10" spans="1:13">
      <c r="A10" s="2231" t="s">
        <v>1417</v>
      </c>
      <c r="B10" s="2338"/>
      <c r="C10" s="1745"/>
      <c r="D10" s="1750"/>
      <c r="E10" s="1750"/>
      <c r="F10" s="1747">
        <f t="shared" ref="F10:G15" si="0">D10*0.16</f>
        <v>0</v>
      </c>
      <c r="G10" s="517">
        <f t="shared" si="0"/>
        <v>0</v>
      </c>
      <c r="H10" s="517">
        <f t="shared" ref="H10:H16" si="1">G10-F10</f>
        <v>0</v>
      </c>
    </row>
    <row r="11" spans="1:13">
      <c r="A11" s="2231" t="s">
        <v>1418</v>
      </c>
      <c r="B11" s="2338"/>
      <c r="C11" s="1745"/>
      <c r="D11" s="1750"/>
      <c r="E11" s="1750"/>
      <c r="F11" s="1747">
        <f t="shared" si="0"/>
        <v>0</v>
      </c>
      <c r="G11" s="517">
        <f t="shared" si="0"/>
        <v>0</v>
      </c>
      <c r="H11" s="517">
        <f t="shared" si="1"/>
        <v>0</v>
      </c>
    </row>
    <row r="12" spans="1:13">
      <c r="A12" s="2231" t="s">
        <v>1419</v>
      </c>
      <c r="B12" s="2338"/>
      <c r="C12" s="1745"/>
      <c r="D12" s="1750"/>
      <c r="E12" s="1750"/>
      <c r="F12" s="1747">
        <f t="shared" si="0"/>
        <v>0</v>
      </c>
      <c r="G12" s="517">
        <f t="shared" si="0"/>
        <v>0</v>
      </c>
      <c r="H12" s="517">
        <f t="shared" si="1"/>
        <v>0</v>
      </c>
      <c r="I12" s="635"/>
    </row>
    <row r="13" spans="1:13">
      <c r="A13" s="2231" t="s">
        <v>1420</v>
      </c>
      <c r="B13" s="2338"/>
      <c r="C13" s="1745"/>
      <c r="D13" s="1750"/>
      <c r="E13" s="1750"/>
      <c r="F13" s="1747">
        <f t="shared" si="0"/>
        <v>0</v>
      </c>
      <c r="G13" s="517">
        <f t="shared" si="0"/>
        <v>0</v>
      </c>
      <c r="H13" s="517">
        <f t="shared" si="1"/>
        <v>0</v>
      </c>
    </row>
    <row r="14" spans="1:13">
      <c r="A14" s="2231" t="s">
        <v>2261</v>
      </c>
      <c r="B14" s="2338"/>
      <c r="C14" s="1745"/>
      <c r="D14" s="1750"/>
      <c r="E14" s="1750"/>
      <c r="F14" s="1747">
        <f t="shared" si="0"/>
        <v>0</v>
      </c>
      <c r="G14" s="517">
        <f t="shared" si="0"/>
        <v>0</v>
      </c>
      <c r="H14" s="517">
        <f t="shared" si="1"/>
        <v>0</v>
      </c>
    </row>
    <row r="15" spans="1:13" ht="13.8" thickBot="1">
      <c r="A15" s="2343" t="s">
        <v>1421</v>
      </c>
      <c r="B15" s="2344"/>
      <c r="C15" s="1745"/>
      <c r="D15" s="1750"/>
      <c r="E15" s="1750"/>
      <c r="F15" s="1748">
        <f t="shared" si="0"/>
        <v>0</v>
      </c>
      <c r="G15" s="1708">
        <f t="shared" si="0"/>
        <v>0</v>
      </c>
      <c r="H15" s="1708">
        <f t="shared" si="1"/>
        <v>0</v>
      </c>
    </row>
    <row r="16" spans="1:13" ht="13.8" thickBot="1">
      <c r="A16" s="2352" t="s">
        <v>250</v>
      </c>
      <c r="B16" s="2353"/>
      <c r="C16" s="2354"/>
      <c r="D16" s="1749">
        <f>SUM(D10:D15)</f>
        <v>0</v>
      </c>
      <c r="E16" s="1749">
        <f>SUM(E10:E15)</f>
        <v>0</v>
      </c>
      <c r="F16" s="1728">
        <f>D16*0.16</f>
        <v>0</v>
      </c>
      <c r="G16" s="1728">
        <f>E16*0.16</f>
        <v>0</v>
      </c>
      <c r="H16" s="1729">
        <f t="shared" si="1"/>
        <v>0</v>
      </c>
    </row>
    <row r="17" spans="1:45" ht="13.8" thickBot="1">
      <c r="A17" s="1167"/>
      <c r="B17" s="873"/>
      <c r="C17" s="1536"/>
      <c r="D17" s="1536"/>
      <c r="E17" s="1536"/>
      <c r="F17" s="1536"/>
      <c r="G17" s="1536"/>
      <c r="H17" s="1536"/>
    </row>
    <row r="18" spans="1:45" s="485" customFormat="1" ht="23.4">
      <c r="A18" s="2345" t="s">
        <v>1165</v>
      </c>
      <c r="B18" s="2346"/>
      <c r="C18" s="2346"/>
      <c r="D18" s="2347" t="s">
        <v>1166</v>
      </c>
      <c r="E18" s="2347" t="s">
        <v>1167</v>
      </c>
      <c r="F18" s="1168" t="s">
        <v>1168</v>
      </c>
      <c r="G18" s="2347" t="s">
        <v>1169</v>
      </c>
      <c r="H18" s="2347" t="s">
        <v>1170</v>
      </c>
      <c r="I18" s="2295" t="s">
        <v>1171</v>
      </c>
      <c r="J18" s="1168" t="s">
        <v>1172</v>
      </c>
      <c r="K18" s="1168" t="s">
        <v>1173</v>
      </c>
      <c r="L18" s="1778" t="s">
        <v>2433</v>
      </c>
      <c r="M18" s="617"/>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row>
    <row r="19" spans="1:45" s="487" customFormat="1" ht="15" thickBot="1">
      <c r="A19" s="2299"/>
      <c r="B19" s="2300"/>
      <c r="C19" s="2300"/>
      <c r="D19" s="2288"/>
      <c r="E19" s="2288"/>
      <c r="F19" s="486" t="s">
        <v>1174</v>
      </c>
      <c r="G19" s="2288"/>
      <c r="H19" s="2288"/>
      <c r="I19" s="2296"/>
      <c r="J19" s="520" t="s">
        <v>1175</v>
      </c>
      <c r="K19" s="520" t="s">
        <v>1176</v>
      </c>
      <c r="L19" s="1724" t="s">
        <v>2538</v>
      </c>
      <c r="M19" s="618"/>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row>
    <row r="20" spans="1:45">
      <c r="A20" s="506" t="s">
        <v>1177</v>
      </c>
      <c r="B20" s="507"/>
      <c r="C20" s="508"/>
      <c r="D20" s="509"/>
      <c r="E20" s="509"/>
      <c r="F20" s="509"/>
      <c r="G20" s="509"/>
      <c r="H20" s="509"/>
      <c r="I20" s="509"/>
      <c r="J20" s="1469"/>
      <c r="K20" s="1469">
        <f>SUM(K21)</f>
        <v>0</v>
      </c>
      <c r="L20" s="1470">
        <f>SUM(L21)</f>
        <v>0</v>
      </c>
      <c r="M20" s="619"/>
    </row>
    <row r="21" spans="1:45" s="113" customFormat="1">
      <c r="A21" s="501" t="s">
        <v>1422</v>
      </c>
      <c r="C21" s="502"/>
      <c r="D21" s="503">
        <f>G37</f>
        <v>0</v>
      </c>
      <c r="E21" s="503"/>
      <c r="F21" s="503">
        <f>D21-E21</f>
        <v>0</v>
      </c>
      <c r="H21" s="503"/>
      <c r="I21" s="503"/>
      <c r="J21" s="503">
        <f>H21-I21</f>
        <v>0</v>
      </c>
      <c r="K21" s="503">
        <f>F21+G21+J21</f>
        <v>0</v>
      </c>
      <c r="L21" s="518">
        <f>K21*(-44/12)</f>
        <v>0</v>
      </c>
      <c r="M21" s="503"/>
    </row>
    <row r="22" spans="1:45" s="113" customFormat="1">
      <c r="A22" s="506" t="s">
        <v>1157</v>
      </c>
      <c r="B22" s="507"/>
      <c r="C22" s="508"/>
      <c r="D22" s="509"/>
      <c r="E22" s="742"/>
      <c r="F22" s="509"/>
      <c r="G22" s="509"/>
      <c r="H22" s="509"/>
      <c r="I22" s="509"/>
      <c r="J22" s="509"/>
      <c r="K22" s="1469">
        <f>SUM(K23:K23)</f>
        <v>0</v>
      </c>
      <c r="L22" s="1470">
        <f>SUM(L23:L23)</f>
        <v>0</v>
      </c>
      <c r="M22" s="619"/>
    </row>
    <row r="23" spans="1:45" ht="13.8" thickBot="1">
      <c r="A23" s="504" t="s">
        <v>1423</v>
      </c>
      <c r="B23" s="505"/>
      <c r="C23" s="290"/>
      <c r="D23" s="290"/>
      <c r="E23" s="290"/>
      <c r="F23" s="503">
        <f>I85</f>
        <v>0</v>
      </c>
      <c r="G23" s="503">
        <f>H101</f>
        <v>0</v>
      </c>
      <c r="H23" s="503">
        <f>M123+L54</f>
        <v>0</v>
      </c>
      <c r="I23" s="503">
        <f>F140+F68</f>
        <v>0</v>
      </c>
      <c r="J23" s="503">
        <f>H23-I23</f>
        <v>0</v>
      </c>
      <c r="K23" s="503">
        <f>F23+G23+J23</f>
        <v>0</v>
      </c>
      <c r="L23" s="620">
        <f>K23*(-44/12)</f>
        <v>0</v>
      </c>
      <c r="M23" s="503"/>
    </row>
    <row r="25" spans="1:45">
      <c r="A25" s="500" t="s">
        <v>1422</v>
      </c>
      <c r="B25" s="500"/>
      <c r="C25" s="500"/>
      <c r="D25" s="500"/>
      <c r="E25" s="500"/>
      <c r="F25" s="500"/>
      <c r="G25" s="500"/>
      <c r="H25" s="500"/>
      <c r="I25" s="500"/>
      <c r="J25" s="500"/>
      <c r="K25" s="500"/>
      <c r="L25" s="500"/>
      <c r="M25" s="126"/>
    </row>
    <row r="26" spans="1:45" ht="14.1" customHeight="1" thickBot="1">
      <c r="A26" s="496" t="s">
        <v>1424</v>
      </c>
      <c r="B26" s="496"/>
      <c r="C26" s="496"/>
      <c r="D26" s="496"/>
      <c r="E26" s="496"/>
      <c r="F26" s="496"/>
      <c r="G26" s="496"/>
      <c r="H26" s="519"/>
      <c r="I26" s="519"/>
    </row>
    <row r="27" spans="1:45" ht="14.1" customHeight="1" thickBot="1">
      <c r="A27" s="2339" t="s">
        <v>1183</v>
      </c>
      <c r="B27" s="2271"/>
      <c r="C27" s="972" t="s">
        <v>1184</v>
      </c>
      <c r="D27" s="2340" t="s">
        <v>1425</v>
      </c>
      <c r="E27" s="2341"/>
      <c r="F27" s="2341"/>
      <c r="G27" s="2342"/>
    </row>
    <row r="28" spans="1:45" ht="23.4" thickBot="1">
      <c r="A28" s="2355" t="s">
        <v>1187</v>
      </c>
      <c r="B28" s="2269"/>
      <c r="C28" s="2356" t="s">
        <v>1188</v>
      </c>
      <c r="D28" s="973" t="s">
        <v>1426</v>
      </c>
      <c r="E28" s="974" t="s">
        <v>1427</v>
      </c>
      <c r="F28" s="974" t="s">
        <v>1428</v>
      </c>
      <c r="G28" s="974" t="s">
        <v>1385</v>
      </c>
    </row>
    <row r="29" spans="1:45" ht="13.8" thickBot="1">
      <c r="A29" s="2253" t="s">
        <v>1195</v>
      </c>
      <c r="B29" s="2253" t="s">
        <v>1196</v>
      </c>
      <c r="C29" s="2357"/>
      <c r="D29" s="975" t="s">
        <v>1197</v>
      </c>
      <c r="E29" s="975" t="s">
        <v>1429</v>
      </c>
      <c r="F29" s="975" t="s">
        <v>1429</v>
      </c>
      <c r="G29" s="975" t="s">
        <v>1430</v>
      </c>
    </row>
    <row r="30" spans="1:45" ht="13.8" thickBot="1">
      <c r="A30" s="2254"/>
      <c r="B30" s="2254"/>
      <c r="C30" s="2357"/>
      <c r="D30" s="975"/>
      <c r="E30" s="874" t="s">
        <v>1431</v>
      </c>
      <c r="F30" s="874" t="s">
        <v>1431</v>
      </c>
      <c r="G30" s="976" t="s">
        <v>1432</v>
      </c>
    </row>
    <row r="31" spans="1:45" ht="14.4" thickBot="1">
      <c r="A31" s="2278"/>
      <c r="B31" s="2278"/>
      <c r="C31" s="2358"/>
      <c r="D31" s="87" t="s">
        <v>1213</v>
      </c>
      <c r="E31" s="499" t="s">
        <v>1433</v>
      </c>
      <c r="F31" s="499" t="s">
        <v>1434</v>
      </c>
      <c r="G31" s="88" t="s">
        <v>1435</v>
      </c>
    </row>
    <row r="32" spans="1:45" ht="14.4" thickTop="1" thickBot="1">
      <c r="A32" s="2264" t="s">
        <v>1338</v>
      </c>
      <c r="B32" s="2264" t="s">
        <v>1338</v>
      </c>
      <c r="C32" s="977" t="s">
        <v>1436</v>
      </c>
      <c r="D32" s="971">
        <f>G11</f>
        <v>0</v>
      </c>
      <c r="E32" s="978">
        <v>2.6</v>
      </c>
      <c r="F32" s="979">
        <v>0</v>
      </c>
      <c r="G32" s="980">
        <f>D32*(E32-F32)</f>
        <v>0</v>
      </c>
    </row>
    <row r="33" spans="1:13" ht="13.8" thickBot="1">
      <c r="A33" s="2254"/>
      <c r="B33" s="2254"/>
      <c r="C33" s="977" t="s">
        <v>1437</v>
      </c>
      <c r="D33" s="971">
        <f>G12</f>
        <v>0</v>
      </c>
      <c r="E33" s="978">
        <v>2.6</v>
      </c>
      <c r="F33" s="979">
        <v>0</v>
      </c>
      <c r="G33" s="980">
        <f>D33*(E33-F33)</f>
        <v>0</v>
      </c>
    </row>
    <row r="34" spans="1:13" ht="13.8" thickBot="1">
      <c r="A34" s="2254"/>
      <c r="B34" s="2254"/>
      <c r="C34" s="977" t="s">
        <v>1438</v>
      </c>
      <c r="D34" s="971">
        <f>G14</f>
        <v>0</v>
      </c>
      <c r="E34" s="978">
        <v>2.6</v>
      </c>
      <c r="F34" s="979">
        <v>0</v>
      </c>
      <c r="G34" s="980">
        <f>D34*(E34-F34)</f>
        <v>0</v>
      </c>
    </row>
    <row r="35" spans="1:13" ht="12.6" customHeight="1" thickBot="1">
      <c r="A35" s="2254"/>
      <c r="B35" s="2254"/>
      <c r="C35" s="89" t="s">
        <v>1439</v>
      </c>
      <c r="D35" s="971"/>
      <c r="E35" s="978">
        <v>2.6</v>
      </c>
      <c r="F35" s="979">
        <v>0</v>
      </c>
      <c r="G35" s="980">
        <f>D35*(E35-F35)</f>
        <v>0</v>
      </c>
    </row>
    <row r="36" spans="1:13" ht="13.8" thickBot="1">
      <c r="A36" s="2359"/>
      <c r="B36" s="2359"/>
      <c r="C36" s="89" t="s">
        <v>1440</v>
      </c>
      <c r="D36" s="971"/>
      <c r="E36" s="978">
        <v>2.6</v>
      </c>
      <c r="F36" s="979">
        <v>0</v>
      </c>
      <c r="G36" s="980">
        <f>D36*(E36-F36)</f>
        <v>0</v>
      </c>
    </row>
    <row r="37" spans="1:13" ht="13.8" thickBot="1">
      <c r="A37" s="2308" t="s">
        <v>250</v>
      </c>
      <c r="B37" s="2360"/>
      <c r="C37" s="2361"/>
      <c r="D37" s="981">
        <f>SUM(D32:D36)</f>
        <v>0</v>
      </c>
      <c r="E37" s="982"/>
      <c r="F37" s="982"/>
      <c r="G37" s="983">
        <f>SUM(G32:G36)</f>
        <v>0</v>
      </c>
    </row>
    <row r="38" spans="1:13" ht="88.35" customHeight="1">
      <c r="A38" s="2362" t="s">
        <v>1441</v>
      </c>
      <c r="B38" s="2363"/>
      <c r="C38" s="2363"/>
      <c r="D38" s="2363"/>
      <c r="E38" s="2363"/>
      <c r="F38" s="2363"/>
      <c r="G38" s="2363"/>
    </row>
    <row r="39" spans="1:13">
      <c r="A39" s="126"/>
      <c r="B39" s="126"/>
      <c r="C39" s="126"/>
      <c r="D39" s="126"/>
      <c r="E39" s="126"/>
      <c r="F39" s="126"/>
      <c r="G39" s="126"/>
      <c r="H39" s="126"/>
      <c r="I39" s="126"/>
      <c r="J39" s="126"/>
      <c r="K39" s="126"/>
      <c r="L39" s="126"/>
      <c r="M39" s="126"/>
    </row>
    <row r="40" spans="1:13" ht="14.1" customHeight="1" thickBot="1">
      <c r="A40" s="496" t="s">
        <v>1442</v>
      </c>
      <c r="B40" s="496"/>
      <c r="C40" s="496"/>
      <c r="D40" s="496"/>
      <c r="E40" s="496"/>
      <c r="F40" s="496"/>
      <c r="G40" s="496"/>
      <c r="H40" s="496"/>
      <c r="I40" s="496"/>
      <c r="J40" s="496"/>
      <c r="K40" s="496"/>
      <c r="L40" s="496"/>
    </row>
    <row r="41" spans="1:13" ht="13.8" thickBot="1">
      <c r="A41" s="2339" t="s">
        <v>1183</v>
      </c>
      <c r="B41" s="2271"/>
      <c r="C41" s="956" t="s">
        <v>1184</v>
      </c>
      <c r="D41" s="2364" t="s">
        <v>1443</v>
      </c>
      <c r="E41" s="2245"/>
      <c r="F41" s="2245"/>
      <c r="G41" s="2245"/>
      <c r="H41" s="2245"/>
      <c r="I41" s="2245"/>
      <c r="J41" s="2245"/>
      <c r="K41" s="2245"/>
      <c r="L41" s="2318"/>
    </row>
    <row r="42" spans="1:13">
      <c r="A42" s="2122" t="s">
        <v>1187</v>
      </c>
      <c r="B42" s="2272"/>
      <c r="C42" s="2272" t="s">
        <v>1188</v>
      </c>
      <c r="D42" s="2274" t="s">
        <v>1444</v>
      </c>
      <c r="E42" s="2274" t="s">
        <v>1445</v>
      </c>
      <c r="F42" s="2274" t="s">
        <v>1446</v>
      </c>
      <c r="G42" s="2274" t="s">
        <v>1447</v>
      </c>
      <c r="H42" s="2274" t="s">
        <v>1349</v>
      </c>
      <c r="I42" s="2274" t="s">
        <v>1448</v>
      </c>
      <c r="J42" s="2274" t="s">
        <v>1449</v>
      </c>
      <c r="K42" s="2274" t="s">
        <v>1450</v>
      </c>
      <c r="L42" s="2274" t="s">
        <v>1356</v>
      </c>
    </row>
    <row r="43" spans="1:13">
      <c r="A43" s="2115"/>
      <c r="B43" s="2251"/>
      <c r="C43" s="2251"/>
      <c r="D43" s="2283"/>
      <c r="E43" s="2283"/>
      <c r="F43" s="2283"/>
      <c r="G43" s="2283"/>
      <c r="H43" s="2283"/>
      <c r="I43" s="2283"/>
      <c r="J43" s="2283"/>
      <c r="K43" s="2283"/>
      <c r="L43" s="2283"/>
    </row>
    <row r="44" spans="1:13" ht="13.8" thickBot="1">
      <c r="A44" s="2120"/>
      <c r="B44" s="2365"/>
      <c r="C44" s="2251"/>
      <c r="D44" s="2275"/>
      <c r="E44" s="2275"/>
      <c r="F44" s="2275"/>
      <c r="G44" s="2275"/>
      <c r="H44" s="2275"/>
      <c r="I44" s="2275"/>
      <c r="J44" s="2275"/>
      <c r="K44" s="2275"/>
      <c r="L44" s="2275"/>
    </row>
    <row r="45" spans="1:13" ht="15" thickBot="1">
      <c r="A45" s="2253" t="s">
        <v>1195</v>
      </c>
      <c r="B45" s="2253" t="s">
        <v>1196</v>
      </c>
      <c r="C45" s="2251"/>
      <c r="D45" s="958" t="s">
        <v>1197</v>
      </c>
      <c r="E45" s="958" t="s">
        <v>1197</v>
      </c>
      <c r="F45" s="958" t="s">
        <v>1328</v>
      </c>
      <c r="G45" s="958" t="s">
        <v>1328</v>
      </c>
      <c r="H45" s="958" t="s">
        <v>1329</v>
      </c>
      <c r="I45" s="958" t="s">
        <v>1358</v>
      </c>
      <c r="J45" s="958" t="s">
        <v>1358</v>
      </c>
      <c r="K45" s="958" t="s">
        <v>1358</v>
      </c>
      <c r="L45" s="958" t="s">
        <v>1201</v>
      </c>
    </row>
    <row r="46" spans="1:13" ht="27" thickBot="1">
      <c r="A46" s="2254"/>
      <c r="B46" s="2254"/>
      <c r="C46" s="2251"/>
      <c r="D46" s="958"/>
      <c r="E46" s="958"/>
      <c r="F46" s="958" t="s">
        <v>1451</v>
      </c>
      <c r="G46" s="958" t="s">
        <v>1451</v>
      </c>
      <c r="H46" s="958" t="s">
        <v>1361</v>
      </c>
      <c r="I46" s="958" t="s">
        <v>1452</v>
      </c>
      <c r="J46" s="958" t="s">
        <v>1452</v>
      </c>
      <c r="K46" s="958" t="s">
        <v>1452</v>
      </c>
      <c r="L46" s="966" t="s">
        <v>1453</v>
      </c>
    </row>
    <row r="47" spans="1:13" ht="15" thickBot="1">
      <c r="A47" s="2254"/>
      <c r="B47" s="2254"/>
      <c r="C47" s="2277"/>
      <c r="D47" s="393" t="s">
        <v>1365</v>
      </c>
      <c r="E47" s="393" t="s">
        <v>1454</v>
      </c>
      <c r="F47" s="393" t="s">
        <v>1455</v>
      </c>
      <c r="G47" s="393" t="s">
        <v>1456</v>
      </c>
      <c r="H47" s="393" t="s">
        <v>1278</v>
      </c>
      <c r="I47" s="393" t="s">
        <v>1457</v>
      </c>
      <c r="J47" s="393" t="s">
        <v>1458</v>
      </c>
      <c r="K47" s="393" t="s">
        <v>1459</v>
      </c>
      <c r="L47" s="393" t="s">
        <v>1373</v>
      </c>
    </row>
    <row r="48" spans="1:13" ht="14.4" thickTop="1" thickBot="1">
      <c r="A48" s="2253" t="s">
        <v>1338</v>
      </c>
      <c r="B48" s="2253" t="s">
        <v>1338</v>
      </c>
      <c r="C48" s="984" t="s">
        <v>1460</v>
      </c>
      <c r="D48" s="971">
        <f>F13</f>
        <v>0</v>
      </c>
      <c r="E48" s="971">
        <f>G13</f>
        <v>0</v>
      </c>
      <c r="F48" s="985">
        <v>47</v>
      </c>
      <c r="G48" s="985">
        <v>47</v>
      </c>
      <c r="H48" s="979">
        <v>20</v>
      </c>
      <c r="I48" s="986">
        <v>0.48</v>
      </c>
      <c r="J48" s="987">
        <v>1</v>
      </c>
      <c r="K48" s="986">
        <v>0.92</v>
      </c>
      <c r="L48" s="980">
        <f t="shared" ref="L48:L53" si="2">((F48*I48*J48*K48*D48)-(G48*I48*J48*K48*E48))/H48</f>
        <v>0</v>
      </c>
    </row>
    <row r="49" spans="1:12" ht="13.8" thickBot="1">
      <c r="A49" s="2254"/>
      <c r="B49" s="2254"/>
      <c r="C49" s="984" t="s">
        <v>1461</v>
      </c>
      <c r="D49" s="971">
        <f>F10</f>
        <v>0</v>
      </c>
      <c r="E49" s="971">
        <f>G10</f>
        <v>0</v>
      </c>
      <c r="F49" s="985">
        <v>47</v>
      </c>
      <c r="G49" s="985">
        <v>47</v>
      </c>
      <c r="H49" s="979">
        <v>20</v>
      </c>
      <c r="I49" s="986">
        <v>1.1000000000000001</v>
      </c>
      <c r="J49" s="988"/>
      <c r="K49" s="989"/>
      <c r="L49" s="980">
        <f t="shared" si="2"/>
        <v>0</v>
      </c>
    </row>
    <row r="50" spans="1:12" ht="13.8" thickBot="1">
      <c r="A50" s="2254"/>
      <c r="B50" s="2254"/>
      <c r="C50" s="984" t="s">
        <v>1462</v>
      </c>
      <c r="D50" s="971">
        <f>F14</f>
        <v>0</v>
      </c>
      <c r="E50" s="971">
        <f>G14</f>
        <v>0</v>
      </c>
      <c r="F50" s="985">
        <v>47</v>
      </c>
      <c r="G50" s="985">
        <v>47</v>
      </c>
      <c r="H50" s="979">
        <v>20</v>
      </c>
      <c r="I50" s="986">
        <v>1</v>
      </c>
      <c r="J50" s="987">
        <v>1</v>
      </c>
      <c r="K50" s="986">
        <v>0.92</v>
      </c>
      <c r="L50" s="980">
        <f t="shared" si="2"/>
        <v>0</v>
      </c>
    </row>
    <row r="51" spans="1:12" ht="13.8" thickBot="1">
      <c r="A51" s="2254"/>
      <c r="B51" s="2254"/>
      <c r="C51" s="990" t="s">
        <v>1463</v>
      </c>
      <c r="D51" s="971">
        <f>F15</f>
        <v>0</v>
      </c>
      <c r="E51" s="971">
        <f>G15</f>
        <v>0</v>
      </c>
      <c r="F51" s="985">
        <v>47</v>
      </c>
      <c r="G51" s="985">
        <v>47</v>
      </c>
      <c r="H51" s="979">
        <v>20</v>
      </c>
      <c r="I51" s="986">
        <v>0.82</v>
      </c>
      <c r="J51" s="987">
        <v>1</v>
      </c>
      <c r="K51" s="986">
        <v>1</v>
      </c>
      <c r="L51" s="980">
        <f t="shared" si="2"/>
        <v>0</v>
      </c>
    </row>
    <row r="52" spans="1:12" ht="13.8" thickBot="1">
      <c r="A52" s="2254"/>
      <c r="B52" s="2254"/>
      <c r="C52" s="990" t="s">
        <v>1464</v>
      </c>
      <c r="D52" s="980"/>
      <c r="E52" s="980"/>
      <c r="F52" s="985">
        <v>47</v>
      </c>
      <c r="G52" s="985">
        <v>47</v>
      </c>
      <c r="H52" s="979">
        <v>20</v>
      </c>
      <c r="I52" s="986">
        <v>0.82</v>
      </c>
      <c r="J52" s="987">
        <v>1</v>
      </c>
      <c r="K52" s="986">
        <v>1</v>
      </c>
      <c r="L52" s="980">
        <f t="shared" si="2"/>
        <v>0</v>
      </c>
    </row>
    <row r="53" spans="1:12" ht="13.8" thickBot="1">
      <c r="A53" s="2278"/>
      <c r="B53" s="2278"/>
      <c r="C53" s="984" t="s">
        <v>1439</v>
      </c>
      <c r="D53" s="971"/>
      <c r="E53" s="971"/>
      <c r="F53" s="985">
        <v>47</v>
      </c>
      <c r="G53" s="985">
        <v>47</v>
      </c>
      <c r="H53" s="979">
        <v>20</v>
      </c>
      <c r="I53" s="986">
        <v>1</v>
      </c>
      <c r="J53" s="987">
        <v>1</v>
      </c>
      <c r="K53" s="986">
        <v>0.92</v>
      </c>
      <c r="L53" s="980">
        <f t="shared" si="2"/>
        <v>0</v>
      </c>
    </row>
    <row r="54" spans="1:12" ht="14.4" thickTop="1" thickBot="1">
      <c r="A54" s="2308" t="s">
        <v>250</v>
      </c>
      <c r="B54" s="2360"/>
      <c r="C54" s="2361"/>
      <c r="D54" s="969"/>
      <c r="E54" s="969"/>
      <c r="F54" s="969"/>
      <c r="G54" s="969"/>
      <c r="H54" s="969"/>
      <c r="I54" s="969"/>
      <c r="J54" s="969"/>
      <c r="K54" s="969"/>
      <c r="L54" s="983">
        <f>SUM(L48:L53)</f>
        <v>0</v>
      </c>
    </row>
    <row r="56" spans="1:12" ht="13.8" thickBot="1">
      <c r="A56" s="496" t="s">
        <v>1465</v>
      </c>
      <c r="B56" s="496"/>
      <c r="C56" s="496"/>
      <c r="D56" s="496"/>
      <c r="E56" s="496"/>
      <c r="F56" s="496"/>
    </row>
    <row r="57" spans="1:12" ht="13.8" thickBot="1">
      <c r="A57" s="2339" t="s">
        <v>1183</v>
      </c>
      <c r="B57" s="2271"/>
      <c r="C57" s="956" t="s">
        <v>1184</v>
      </c>
      <c r="D57" s="2364" t="s">
        <v>1301</v>
      </c>
      <c r="E57" s="2245"/>
      <c r="F57" s="2318"/>
    </row>
    <row r="58" spans="1:12" ht="27" thickBot="1">
      <c r="A58" s="2355" t="s">
        <v>1187</v>
      </c>
      <c r="B58" s="2269"/>
      <c r="C58" s="2272" t="s">
        <v>1188</v>
      </c>
      <c r="D58" s="957" t="s">
        <v>1413</v>
      </c>
      <c r="E58" s="957" t="s">
        <v>1303</v>
      </c>
      <c r="F58" s="957" t="s">
        <v>1414</v>
      </c>
    </row>
    <row r="59" spans="1:12" ht="15" thickBot="1">
      <c r="A59" s="2253" t="s">
        <v>1195</v>
      </c>
      <c r="B59" s="2253" t="s">
        <v>1196</v>
      </c>
      <c r="C59" s="2251"/>
      <c r="D59" s="965" t="s">
        <v>1197</v>
      </c>
      <c r="E59" s="965" t="s">
        <v>1305</v>
      </c>
      <c r="F59" s="965" t="s">
        <v>1201</v>
      </c>
    </row>
    <row r="60" spans="1:12" ht="15" thickBot="1">
      <c r="A60" s="2254"/>
      <c r="B60" s="2254"/>
      <c r="C60" s="2251"/>
      <c r="D60" s="965"/>
      <c r="E60" s="965" t="s">
        <v>1416</v>
      </c>
      <c r="F60" s="967" t="s">
        <v>1307</v>
      </c>
    </row>
    <row r="61" spans="1:12" ht="15" thickBot="1">
      <c r="A61" s="2278"/>
      <c r="B61" s="2278"/>
      <c r="C61" s="2277"/>
      <c r="D61" s="393" t="s">
        <v>1213</v>
      </c>
      <c r="E61" s="393" t="s">
        <v>886</v>
      </c>
      <c r="F61" s="872" t="s">
        <v>1308</v>
      </c>
    </row>
    <row r="62" spans="1:12" ht="14.4" thickTop="1" thickBot="1">
      <c r="A62" s="2264" t="s">
        <v>1338</v>
      </c>
      <c r="B62" s="2264" t="s">
        <v>1338</v>
      </c>
      <c r="C62" s="984" t="s">
        <v>1460</v>
      </c>
      <c r="D62" s="971">
        <f>-$H$13</f>
        <v>0</v>
      </c>
      <c r="E62" s="964">
        <v>20</v>
      </c>
      <c r="F62" s="968">
        <f t="shared" ref="F62:F67" si="3">D62*E62</f>
        <v>0</v>
      </c>
    </row>
    <row r="63" spans="1:12" ht="13.8" thickBot="1">
      <c r="A63" s="2254"/>
      <c r="B63" s="2254"/>
      <c r="C63" s="984" t="s">
        <v>1461</v>
      </c>
      <c r="D63" s="971">
        <f>-$H$10</f>
        <v>0</v>
      </c>
      <c r="E63" s="964"/>
      <c r="F63" s="968">
        <f t="shared" si="3"/>
        <v>0</v>
      </c>
    </row>
    <row r="64" spans="1:12" ht="13.8" thickBot="1">
      <c r="A64" s="2254"/>
      <c r="B64" s="2254"/>
      <c r="C64" s="984" t="s">
        <v>1462</v>
      </c>
      <c r="D64" s="971">
        <f>-$H$14-H12-H11</f>
        <v>0</v>
      </c>
      <c r="E64" s="964">
        <v>20</v>
      </c>
      <c r="F64" s="968">
        <f t="shared" si="3"/>
        <v>0</v>
      </c>
    </row>
    <row r="65" spans="1:13" ht="13.8" thickBot="1">
      <c r="A65" s="2254"/>
      <c r="B65" s="2254"/>
      <c r="C65" s="990" t="s">
        <v>1463</v>
      </c>
      <c r="D65" s="971">
        <f>-$H$15</f>
        <v>0</v>
      </c>
      <c r="E65" s="964">
        <v>20</v>
      </c>
      <c r="F65" s="968">
        <f t="shared" si="3"/>
        <v>0</v>
      </c>
    </row>
    <row r="66" spans="1:13" ht="13.8" thickBot="1">
      <c r="A66" s="2254"/>
      <c r="B66" s="2254"/>
      <c r="C66" s="990" t="s">
        <v>1464</v>
      </c>
      <c r="D66" s="980"/>
      <c r="E66" s="964">
        <v>20</v>
      </c>
      <c r="F66" s="968">
        <f t="shared" si="3"/>
        <v>0</v>
      </c>
    </row>
    <row r="67" spans="1:13" ht="13.8" thickBot="1">
      <c r="A67" s="2359"/>
      <c r="B67" s="2359"/>
      <c r="C67" s="984" t="s">
        <v>1439</v>
      </c>
      <c r="D67" s="971"/>
      <c r="E67" s="964">
        <v>20</v>
      </c>
      <c r="F67" s="968">
        <f t="shared" si="3"/>
        <v>0</v>
      </c>
    </row>
    <row r="68" spans="1:13" ht="13.8" thickBot="1">
      <c r="A68" s="2308" t="s">
        <v>250</v>
      </c>
      <c r="B68" s="2360"/>
      <c r="C68" s="2361"/>
      <c r="D68" s="969">
        <f>SUM(D62:D67)</f>
        <v>0</v>
      </c>
      <c r="E68" s="969"/>
      <c r="F68" s="969">
        <f>SUM(F62:F67)</f>
        <v>0</v>
      </c>
    </row>
    <row r="70" spans="1:13">
      <c r="A70" s="500" t="s">
        <v>1423</v>
      </c>
      <c r="B70" s="500"/>
      <c r="C70" s="500"/>
      <c r="D70" s="500"/>
      <c r="E70" s="500"/>
      <c r="F70" s="500"/>
      <c r="G70" s="500"/>
      <c r="H70" s="500"/>
      <c r="I70" s="500"/>
      <c r="J70" s="500"/>
      <c r="K70" s="500"/>
      <c r="L70" s="500"/>
      <c r="M70" s="126"/>
    </row>
    <row r="71" spans="1:13" ht="14.1" customHeight="1" thickBot="1">
      <c r="A71" s="496" t="s">
        <v>1466</v>
      </c>
      <c r="B71" s="496"/>
      <c r="C71" s="496"/>
      <c r="D71" s="496"/>
      <c r="E71" s="496"/>
      <c r="F71" s="496"/>
      <c r="G71" s="496"/>
      <c r="H71" s="496"/>
      <c r="I71" s="496"/>
    </row>
    <row r="72" spans="1:13" ht="13.8" thickBot="1">
      <c r="A72" s="2339" t="s">
        <v>1183</v>
      </c>
      <c r="B72" s="2271"/>
      <c r="C72" s="498" t="s">
        <v>1184</v>
      </c>
      <c r="D72" s="2364" t="s">
        <v>1379</v>
      </c>
      <c r="E72" s="2245"/>
      <c r="F72" s="2246"/>
      <c r="G72" s="2364" t="s">
        <v>1380</v>
      </c>
      <c r="H72" s="2245"/>
      <c r="I72" s="2246"/>
    </row>
    <row r="73" spans="1:13" ht="27" thickBot="1">
      <c r="A73" s="2355" t="s">
        <v>1187</v>
      </c>
      <c r="B73" s="2269"/>
      <c r="C73" s="2253" t="s">
        <v>1188</v>
      </c>
      <c r="D73" s="957" t="s">
        <v>1467</v>
      </c>
      <c r="E73" s="957" t="s">
        <v>1382</v>
      </c>
      <c r="F73" s="957" t="s">
        <v>1193</v>
      </c>
      <c r="G73" s="957" t="s">
        <v>1468</v>
      </c>
      <c r="H73" s="957" t="s">
        <v>1469</v>
      </c>
      <c r="I73" s="957" t="s">
        <v>1385</v>
      </c>
    </row>
    <row r="74" spans="1:13">
      <c r="A74" s="2253" t="s">
        <v>1312</v>
      </c>
      <c r="B74" s="2253" t="s">
        <v>1196</v>
      </c>
      <c r="C74" s="2254"/>
      <c r="D74" s="2253" t="s">
        <v>1197</v>
      </c>
      <c r="E74" s="866" t="s">
        <v>1470</v>
      </c>
      <c r="F74" s="866" t="s">
        <v>1200</v>
      </c>
      <c r="G74" s="866" t="s">
        <v>1357</v>
      </c>
      <c r="H74" s="866" t="s">
        <v>1357</v>
      </c>
      <c r="I74" s="2253" t="s">
        <v>1201</v>
      </c>
    </row>
    <row r="75" spans="1:13" ht="15" thickBot="1">
      <c r="A75" s="2254"/>
      <c r="B75" s="2254"/>
      <c r="C75" s="2254"/>
      <c r="D75" s="2255"/>
      <c r="E75" s="958" t="s">
        <v>1471</v>
      </c>
      <c r="F75" s="958" t="s">
        <v>1203</v>
      </c>
      <c r="G75" s="958" t="s">
        <v>1386</v>
      </c>
      <c r="H75" s="958" t="s">
        <v>1386</v>
      </c>
      <c r="I75" s="2255"/>
    </row>
    <row r="76" spans="1:13" ht="29.4" thickBot="1">
      <c r="A76" s="2254"/>
      <c r="B76" s="2254"/>
      <c r="C76" s="2254"/>
      <c r="D76" s="958"/>
      <c r="E76" s="958" t="s">
        <v>1387</v>
      </c>
      <c r="F76" s="958">
        <v>0.5</v>
      </c>
      <c r="G76" s="958" t="s">
        <v>1472</v>
      </c>
      <c r="H76" s="958" t="s">
        <v>1431</v>
      </c>
      <c r="I76" s="958" t="s">
        <v>1473</v>
      </c>
    </row>
    <row r="77" spans="1:13" ht="15" thickBot="1">
      <c r="A77" s="2278"/>
      <c r="B77" s="2278"/>
      <c r="C77" s="2278"/>
      <c r="D77" s="393" t="s">
        <v>1390</v>
      </c>
      <c r="E77" s="393" t="s">
        <v>1391</v>
      </c>
      <c r="F77" s="393" t="s">
        <v>1217</v>
      </c>
      <c r="G77" s="393" t="s">
        <v>1392</v>
      </c>
      <c r="H77" s="393" t="s">
        <v>1393</v>
      </c>
      <c r="I77" s="872" t="s">
        <v>1394</v>
      </c>
    </row>
    <row r="78" spans="1:13" ht="14.4" thickTop="1" thickBot="1">
      <c r="A78" s="2264"/>
      <c r="B78" s="2264" t="s">
        <v>1338</v>
      </c>
      <c r="C78" s="991" t="s">
        <v>1460</v>
      </c>
      <c r="D78" s="971">
        <f>$H$13</f>
        <v>0</v>
      </c>
      <c r="E78" s="959">
        <v>3</v>
      </c>
      <c r="F78" s="963">
        <v>0.5</v>
      </c>
      <c r="G78" s="959">
        <v>20</v>
      </c>
      <c r="H78" s="963">
        <v>20</v>
      </c>
      <c r="I78" s="1711">
        <f t="shared" ref="I78:I83" si="4">G78+((0-E78)*D78*F78)-H78</f>
        <v>0</v>
      </c>
    </row>
    <row r="79" spans="1:13" ht="13.8" thickBot="1">
      <c r="A79" s="2254"/>
      <c r="B79" s="2254"/>
      <c r="C79" s="991" t="s">
        <v>1461</v>
      </c>
      <c r="D79" s="971">
        <f>$H$10</f>
        <v>0</v>
      </c>
      <c r="E79" s="959">
        <v>3</v>
      </c>
      <c r="F79" s="963">
        <v>0.5</v>
      </c>
      <c r="G79" s="959">
        <v>20</v>
      </c>
      <c r="H79" s="963">
        <v>20</v>
      </c>
      <c r="I79" s="1711">
        <f t="shared" si="4"/>
        <v>0</v>
      </c>
    </row>
    <row r="80" spans="1:13" ht="13.8" thickBot="1">
      <c r="A80" s="2254"/>
      <c r="B80" s="2254"/>
      <c r="C80" s="991" t="s">
        <v>1462</v>
      </c>
      <c r="D80" s="971">
        <f>$H$14+H11+H12</f>
        <v>0</v>
      </c>
      <c r="E80" s="959">
        <v>3</v>
      </c>
      <c r="F80" s="963">
        <v>0.5</v>
      </c>
      <c r="G80" s="959">
        <v>20</v>
      </c>
      <c r="H80" s="963">
        <v>20</v>
      </c>
      <c r="I80" s="1711">
        <f t="shared" si="4"/>
        <v>0</v>
      </c>
    </row>
    <row r="81" spans="1:9" ht="13.8" thickBot="1">
      <c r="A81" s="2254"/>
      <c r="B81" s="2254"/>
      <c r="C81" s="992" t="s">
        <v>1474</v>
      </c>
      <c r="D81" s="971">
        <f>$H$15</f>
        <v>0</v>
      </c>
      <c r="E81" s="959">
        <v>3</v>
      </c>
      <c r="F81" s="963">
        <v>0.5</v>
      </c>
      <c r="G81" s="959">
        <v>20</v>
      </c>
      <c r="H81" s="963">
        <v>20</v>
      </c>
      <c r="I81" s="1711">
        <f t="shared" si="4"/>
        <v>0</v>
      </c>
    </row>
    <row r="82" spans="1:9" ht="13.8" thickBot="1">
      <c r="A82" s="2254"/>
      <c r="B82" s="2254"/>
      <c r="C82" s="992" t="s">
        <v>1475</v>
      </c>
      <c r="D82" s="980"/>
      <c r="E82" s="959">
        <v>3</v>
      </c>
      <c r="F82" s="963">
        <v>0.5</v>
      </c>
      <c r="G82" s="959">
        <v>20</v>
      </c>
      <c r="H82" s="963">
        <v>20</v>
      </c>
      <c r="I82" s="1711">
        <f t="shared" si="4"/>
        <v>0</v>
      </c>
    </row>
    <row r="83" spans="1:9" ht="13.8" thickBot="1">
      <c r="A83" s="2254"/>
      <c r="B83" s="2254"/>
      <c r="C83" s="992" t="s">
        <v>1439</v>
      </c>
      <c r="D83" s="971"/>
      <c r="E83" s="959">
        <v>3</v>
      </c>
      <c r="F83" s="963">
        <v>0.5</v>
      </c>
      <c r="G83" s="959">
        <v>20</v>
      </c>
      <c r="H83" s="963">
        <v>20</v>
      </c>
      <c r="I83" s="1711">
        <f t="shared" si="4"/>
        <v>0</v>
      </c>
    </row>
    <row r="84" spans="1:9" ht="13.8" thickBot="1">
      <c r="A84" s="2366" t="s">
        <v>1230</v>
      </c>
      <c r="B84" s="2243"/>
      <c r="C84" s="2311"/>
      <c r="D84" s="970"/>
      <c r="E84" s="970"/>
      <c r="F84" s="970"/>
      <c r="G84" s="970"/>
      <c r="H84" s="970"/>
      <c r="I84" s="523">
        <f>SUM(I78:I83)</f>
        <v>0</v>
      </c>
    </row>
    <row r="85" spans="1:9" ht="13.8" thickBot="1">
      <c r="A85" s="2367" t="s">
        <v>250</v>
      </c>
      <c r="B85" s="2234"/>
      <c r="C85" s="2235"/>
      <c r="D85" s="510"/>
      <c r="E85" s="511"/>
      <c r="F85" s="511"/>
      <c r="G85" s="512"/>
      <c r="H85" s="513"/>
      <c r="I85" s="1432">
        <f>I84</f>
        <v>0</v>
      </c>
    </row>
    <row r="86" spans="1:9" ht="60" customHeight="1">
      <c r="A86" s="2368" t="s">
        <v>1476</v>
      </c>
      <c r="B86" s="2302"/>
      <c r="C86" s="2302"/>
      <c r="D86" s="2302"/>
      <c r="E86" s="2302"/>
      <c r="F86" s="2302"/>
      <c r="G86" s="2302"/>
      <c r="H86" s="2302"/>
      <c r="I86" s="2302"/>
    </row>
    <row r="88" spans="1:9" ht="15" thickBot="1">
      <c r="A88" s="496" t="s">
        <v>1477</v>
      </c>
      <c r="B88" s="496"/>
      <c r="C88" s="496"/>
      <c r="D88" s="496"/>
      <c r="E88" s="496"/>
      <c r="F88" s="496"/>
      <c r="G88" s="496"/>
      <c r="H88" s="496"/>
    </row>
    <row r="89" spans="1:9" ht="13.8" thickBot="1">
      <c r="A89" s="2339" t="s">
        <v>1183</v>
      </c>
      <c r="B89" s="2271"/>
      <c r="C89" s="498" t="s">
        <v>1184</v>
      </c>
      <c r="D89" s="2364" t="s">
        <v>1322</v>
      </c>
      <c r="E89" s="2245"/>
      <c r="F89" s="2245"/>
      <c r="G89" s="2245"/>
      <c r="H89" s="2318"/>
    </row>
    <row r="90" spans="1:9" ht="40.200000000000003" thickBot="1">
      <c r="A90" s="2355" t="s">
        <v>1187</v>
      </c>
      <c r="B90" s="2269"/>
      <c r="C90" s="2272" t="s">
        <v>1188</v>
      </c>
      <c r="D90" s="493" t="s">
        <v>1323</v>
      </c>
      <c r="E90" s="493" t="s">
        <v>1478</v>
      </c>
      <c r="F90" s="493" t="s">
        <v>1479</v>
      </c>
      <c r="G90" s="493" t="s">
        <v>1326</v>
      </c>
      <c r="H90" s="493" t="s">
        <v>1327</v>
      </c>
    </row>
    <row r="91" spans="1:9" ht="15" thickBot="1">
      <c r="A91" s="2253" t="s">
        <v>1398</v>
      </c>
      <c r="B91" s="2253" t="s">
        <v>1196</v>
      </c>
      <c r="C91" s="2251"/>
      <c r="D91" s="865" t="s">
        <v>1197</v>
      </c>
      <c r="E91" s="865" t="s">
        <v>1328</v>
      </c>
      <c r="F91" s="865" t="s">
        <v>1328</v>
      </c>
      <c r="G91" s="865" t="s">
        <v>1329</v>
      </c>
      <c r="H91" s="865" t="s">
        <v>1201</v>
      </c>
    </row>
    <row r="92" spans="1:9" ht="27" thickBot="1">
      <c r="A92" s="2254"/>
      <c r="B92" s="2254"/>
      <c r="C92" s="2251"/>
      <c r="D92" s="958" t="s">
        <v>1204</v>
      </c>
      <c r="E92" s="958" t="s">
        <v>1330</v>
      </c>
      <c r="F92" s="958" t="s">
        <v>1331</v>
      </c>
      <c r="G92" s="866" t="s">
        <v>1480</v>
      </c>
      <c r="H92" s="958" t="s">
        <v>1481</v>
      </c>
    </row>
    <row r="93" spans="1:9" ht="15" thickBot="1">
      <c r="A93" s="2278"/>
      <c r="B93" s="2278"/>
      <c r="C93" s="2277"/>
      <c r="D93" s="872" t="s">
        <v>1402</v>
      </c>
      <c r="E93" s="872" t="s">
        <v>1335</v>
      </c>
      <c r="F93" s="872" t="s">
        <v>1334</v>
      </c>
      <c r="G93" s="494" t="s">
        <v>1403</v>
      </c>
      <c r="H93" s="872" t="s">
        <v>1337</v>
      </c>
    </row>
    <row r="94" spans="1:9" ht="14.4" thickTop="1" thickBot="1">
      <c r="A94" s="2264"/>
      <c r="B94" s="2264" t="s">
        <v>1338</v>
      </c>
      <c r="C94" s="991" t="s">
        <v>1460</v>
      </c>
      <c r="D94" s="971">
        <f>$H$13</f>
        <v>0</v>
      </c>
      <c r="E94" s="963">
        <v>2.1</v>
      </c>
      <c r="F94" s="965">
        <v>0</v>
      </c>
      <c r="G94" s="965">
        <v>1</v>
      </c>
      <c r="H94" s="1711">
        <f t="shared" ref="H94:H99" si="5">IFERROR(((D94*(F94-E94)/G94)),0)</f>
        <v>0</v>
      </c>
    </row>
    <row r="95" spans="1:9" ht="13.8" thickBot="1">
      <c r="A95" s="2254"/>
      <c r="B95" s="2254"/>
      <c r="C95" s="991" t="s">
        <v>1461</v>
      </c>
      <c r="D95" s="971">
        <f>$H$10</f>
        <v>0</v>
      </c>
      <c r="E95" s="963">
        <v>2.1</v>
      </c>
      <c r="F95" s="965">
        <v>0</v>
      </c>
      <c r="G95" s="965">
        <v>1</v>
      </c>
      <c r="H95" s="1711">
        <f t="shared" si="5"/>
        <v>0</v>
      </c>
    </row>
    <row r="96" spans="1:9" ht="13.8" thickBot="1">
      <c r="A96" s="2254"/>
      <c r="B96" s="2254"/>
      <c r="C96" s="991" t="s">
        <v>1462</v>
      </c>
      <c r="D96" s="971">
        <f>$H$14+H11+H12</f>
        <v>0</v>
      </c>
      <c r="E96" s="963">
        <v>2.1</v>
      </c>
      <c r="F96" s="965">
        <v>0</v>
      </c>
      <c r="G96" s="965">
        <v>1</v>
      </c>
      <c r="H96" s="1711">
        <f t="shared" si="5"/>
        <v>0</v>
      </c>
    </row>
    <row r="97" spans="1:13" ht="13.8" thickBot="1">
      <c r="A97" s="2254"/>
      <c r="B97" s="2254"/>
      <c r="C97" s="992" t="s">
        <v>1474</v>
      </c>
      <c r="D97" s="971">
        <f>$H$15</f>
        <v>0</v>
      </c>
      <c r="E97" s="963">
        <v>2.1</v>
      </c>
      <c r="F97" s="965">
        <v>0</v>
      </c>
      <c r="G97" s="965">
        <v>1</v>
      </c>
      <c r="H97" s="1711">
        <f t="shared" si="5"/>
        <v>0</v>
      </c>
    </row>
    <row r="98" spans="1:13" ht="13.8" thickBot="1">
      <c r="A98" s="2254"/>
      <c r="B98" s="2254"/>
      <c r="C98" s="992" t="s">
        <v>1475</v>
      </c>
      <c r="D98" s="980"/>
      <c r="E98" s="963">
        <v>2.1</v>
      </c>
      <c r="F98" s="965">
        <v>0</v>
      </c>
      <c r="G98" s="965">
        <v>1</v>
      </c>
      <c r="H98" s="1711">
        <f t="shared" si="5"/>
        <v>0</v>
      </c>
    </row>
    <row r="99" spans="1:13" ht="13.8" thickBot="1">
      <c r="A99" s="2255"/>
      <c r="B99" s="2255"/>
      <c r="C99" s="992" t="s">
        <v>1439</v>
      </c>
      <c r="D99" s="971"/>
      <c r="E99" s="963">
        <v>2.1</v>
      </c>
      <c r="F99" s="965">
        <v>0</v>
      </c>
      <c r="G99" s="965">
        <v>1</v>
      </c>
      <c r="H99" s="1711">
        <f t="shared" si="5"/>
        <v>0</v>
      </c>
    </row>
    <row r="100" spans="1:13" ht="13.8" thickBot="1">
      <c r="A100" s="2375" t="s">
        <v>1230</v>
      </c>
      <c r="B100" s="2376"/>
      <c r="C100" s="2377"/>
      <c r="D100" s="970"/>
      <c r="E100" s="970"/>
      <c r="F100" s="970"/>
      <c r="G100" s="970"/>
      <c r="H100" s="523">
        <f>SUM(H94:H99)</f>
        <v>0</v>
      </c>
    </row>
    <row r="101" spans="1:13" ht="13.8" thickBot="1">
      <c r="A101" s="2367" t="s">
        <v>250</v>
      </c>
      <c r="B101" s="2234"/>
      <c r="C101" s="2279"/>
      <c r="D101" s="514"/>
      <c r="E101" s="514"/>
      <c r="F101" s="514"/>
      <c r="G101" s="514"/>
      <c r="H101" s="515">
        <f>H100</f>
        <v>0</v>
      </c>
    </row>
    <row r="102" spans="1:13" ht="14.4">
      <c r="A102" s="2369" t="s">
        <v>1404</v>
      </c>
      <c r="B102" s="2369"/>
      <c r="C102" s="2369"/>
      <c r="D102" s="2369"/>
      <c r="E102" s="2369"/>
      <c r="F102" s="2369"/>
      <c r="G102" s="2369"/>
      <c r="H102" s="2369"/>
    </row>
    <row r="103" spans="1:13" ht="14.4">
      <c r="A103" s="2369" t="s">
        <v>1482</v>
      </c>
      <c r="B103" s="2369"/>
      <c r="C103" s="2369"/>
      <c r="D103" s="2369"/>
      <c r="E103" s="2369"/>
      <c r="F103" s="2369"/>
      <c r="G103" s="2369"/>
      <c r="H103" s="2369"/>
    </row>
    <row r="104" spans="1:13">
      <c r="A104" s="289" t="s">
        <v>1483</v>
      </c>
      <c r="B104" s="289"/>
    </row>
    <row r="106" spans="1:13" ht="14.1" customHeight="1" thickBot="1">
      <c r="A106" s="496" t="s">
        <v>1484</v>
      </c>
      <c r="B106" s="496"/>
      <c r="C106" s="496"/>
      <c r="D106" s="496"/>
      <c r="E106" s="496"/>
      <c r="F106" s="496"/>
      <c r="G106" s="496"/>
      <c r="H106" s="496"/>
      <c r="I106" s="496"/>
      <c r="J106" s="496"/>
      <c r="K106" s="496"/>
      <c r="L106" s="496"/>
      <c r="M106" s="496"/>
    </row>
    <row r="107" spans="1:13" ht="13.8" thickBot="1">
      <c r="A107" s="2339" t="s">
        <v>1183</v>
      </c>
      <c r="B107" s="2271"/>
      <c r="C107" s="498" t="s">
        <v>1485</v>
      </c>
      <c r="D107" s="2364" t="s">
        <v>1345</v>
      </c>
      <c r="E107" s="2245"/>
      <c r="F107" s="2245"/>
      <c r="G107" s="2245"/>
      <c r="H107" s="2245"/>
      <c r="I107" s="2245"/>
      <c r="J107" s="2245"/>
      <c r="K107" s="2245"/>
      <c r="L107" s="2245"/>
      <c r="M107" s="2318"/>
    </row>
    <row r="108" spans="1:13" ht="26.4">
      <c r="A108" s="2122" t="s">
        <v>1187</v>
      </c>
      <c r="B108" s="2272"/>
      <c r="C108" s="2253" t="s">
        <v>1346</v>
      </c>
      <c r="D108" s="2274" t="s">
        <v>1407</v>
      </c>
      <c r="E108" s="493" t="s">
        <v>1408</v>
      </c>
      <c r="F108" s="2274" t="s">
        <v>1349</v>
      </c>
      <c r="G108" s="2274" t="s">
        <v>1350</v>
      </c>
      <c r="H108" s="2274" t="s">
        <v>1351</v>
      </c>
      <c r="I108" s="2274" t="s">
        <v>1352</v>
      </c>
      <c r="J108" s="2274" t="s">
        <v>1353</v>
      </c>
      <c r="K108" s="2274" t="s">
        <v>1354</v>
      </c>
      <c r="L108" s="2274" t="s">
        <v>1355</v>
      </c>
      <c r="M108" s="2274" t="s">
        <v>1356</v>
      </c>
    </row>
    <row r="109" spans="1:13">
      <c r="A109" s="2115"/>
      <c r="B109" s="2251"/>
      <c r="C109" s="2254"/>
      <c r="D109" s="2283"/>
      <c r="E109" s="493"/>
      <c r="F109" s="2283"/>
      <c r="G109" s="2283"/>
      <c r="H109" s="2283"/>
      <c r="I109" s="2283"/>
      <c r="J109" s="2283"/>
      <c r="K109" s="2283"/>
      <c r="L109" s="2283"/>
      <c r="M109" s="2283"/>
    </row>
    <row r="110" spans="1:13" ht="13.8" thickBot="1">
      <c r="A110" s="2120"/>
      <c r="B110" s="2365"/>
      <c r="C110" s="2254"/>
      <c r="D110" s="2275"/>
      <c r="E110" s="957"/>
      <c r="F110" s="2275"/>
      <c r="G110" s="2275"/>
      <c r="H110" s="2275"/>
      <c r="I110" s="2275"/>
      <c r="J110" s="2275"/>
      <c r="K110" s="2275"/>
      <c r="L110" s="2275"/>
      <c r="M110" s="2275"/>
    </row>
    <row r="111" spans="1:13">
      <c r="A111" s="2253" t="s">
        <v>1312</v>
      </c>
      <c r="B111" s="2253" t="s">
        <v>1196</v>
      </c>
      <c r="C111" s="2254"/>
      <c r="D111" s="2370" t="s">
        <v>1197</v>
      </c>
      <c r="E111" s="495" t="s">
        <v>1357</v>
      </c>
      <c r="F111" s="2370" t="s">
        <v>1329</v>
      </c>
      <c r="G111" s="2370" t="s">
        <v>1358</v>
      </c>
      <c r="H111" s="2370" t="s">
        <v>1358</v>
      </c>
      <c r="I111" s="2370" t="s">
        <v>1358</v>
      </c>
      <c r="J111" s="2370" t="s">
        <v>1358</v>
      </c>
      <c r="K111" s="2370" t="s">
        <v>1358</v>
      </c>
      <c r="L111" s="2370" t="s">
        <v>1358</v>
      </c>
      <c r="M111" s="495" t="s">
        <v>1357</v>
      </c>
    </row>
    <row r="112" spans="1:13" ht="15" thickBot="1">
      <c r="A112" s="2254"/>
      <c r="B112" s="2254"/>
      <c r="C112" s="2254"/>
      <c r="D112" s="2371"/>
      <c r="E112" s="965" t="s">
        <v>1359</v>
      </c>
      <c r="F112" s="2371"/>
      <c r="G112" s="2371"/>
      <c r="H112" s="2371"/>
      <c r="I112" s="2371"/>
      <c r="J112" s="2371"/>
      <c r="K112" s="2371"/>
      <c r="L112" s="2371"/>
      <c r="M112" s="965" t="s">
        <v>1290</v>
      </c>
    </row>
    <row r="113" spans="1:13" ht="21.75" customHeight="1">
      <c r="A113" s="2254"/>
      <c r="B113" s="2254"/>
      <c r="C113" s="2254"/>
      <c r="D113" s="2370"/>
      <c r="E113" s="2370" t="s">
        <v>1486</v>
      </c>
      <c r="F113" s="2370" t="s">
        <v>1361</v>
      </c>
      <c r="G113" s="2370" t="s">
        <v>1452</v>
      </c>
      <c r="H113" s="2370" t="s">
        <v>1452</v>
      </c>
      <c r="I113" s="2370" t="s">
        <v>1487</v>
      </c>
      <c r="J113" s="2370" t="s">
        <v>1488</v>
      </c>
      <c r="K113" s="2370" t="s">
        <v>1488</v>
      </c>
      <c r="L113" s="2370" t="s">
        <v>1488</v>
      </c>
      <c r="M113" s="495" t="s">
        <v>1363</v>
      </c>
    </row>
    <row r="114" spans="1:13" ht="13.8" thickBot="1">
      <c r="A114" s="2254"/>
      <c r="B114" s="2254"/>
      <c r="C114" s="2254"/>
      <c r="D114" s="2371"/>
      <c r="E114" s="2371"/>
      <c r="F114" s="2371"/>
      <c r="G114" s="2371"/>
      <c r="H114" s="2371"/>
      <c r="I114" s="2371"/>
      <c r="J114" s="2371"/>
      <c r="K114" s="2371"/>
      <c r="L114" s="2371"/>
      <c r="M114" s="965" t="s">
        <v>1411</v>
      </c>
    </row>
    <row r="115" spans="1:13" ht="15" thickBot="1">
      <c r="A115" s="2278"/>
      <c r="B115" s="2278"/>
      <c r="C115" s="2278"/>
      <c r="D115" s="393" t="s">
        <v>1365</v>
      </c>
      <c r="E115" s="393" t="s">
        <v>1366</v>
      </c>
      <c r="F115" s="393" t="s">
        <v>1278</v>
      </c>
      <c r="G115" s="393" t="s">
        <v>1367</v>
      </c>
      <c r="H115" s="393" t="s">
        <v>1368</v>
      </c>
      <c r="I115" s="393" t="s">
        <v>1369</v>
      </c>
      <c r="J115" s="393" t="s">
        <v>1370</v>
      </c>
      <c r="K115" s="393" t="s">
        <v>1371</v>
      </c>
      <c r="L115" s="393" t="s">
        <v>1372</v>
      </c>
      <c r="M115" s="393" t="s">
        <v>1373</v>
      </c>
    </row>
    <row r="116" spans="1:13" ht="13.8" thickBot="1">
      <c r="A116" s="2264"/>
      <c r="B116" s="2264" t="s">
        <v>1338</v>
      </c>
      <c r="C116" s="991" t="s">
        <v>1460</v>
      </c>
      <c r="D116" s="971">
        <f>-$H$13</f>
        <v>0</v>
      </c>
      <c r="E116" s="971">
        <v>47</v>
      </c>
      <c r="F116" s="971">
        <v>20</v>
      </c>
      <c r="G116" s="971">
        <v>1</v>
      </c>
      <c r="H116" s="971">
        <v>1</v>
      </c>
      <c r="I116" s="971">
        <v>1</v>
      </c>
      <c r="J116" s="971">
        <v>0.48</v>
      </c>
      <c r="K116" s="971">
        <v>1</v>
      </c>
      <c r="L116" s="971">
        <v>0.92</v>
      </c>
      <c r="M116" s="971">
        <f t="shared" ref="M116:M121" si="6">(ABS((E116*G116*H116*I116)-(E116*J116*K116*L116))/F116)*D116</f>
        <v>0</v>
      </c>
    </row>
    <row r="117" spans="1:13" ht="13.8" thickBot="1">
      <c r="A117" s="2254"/>
      <c r="B117" s="2254"/>
      <c r="C117" s="991" t="s">
        <v>1461</v>
      </c>
      <c r="D117" s="971">
        <f>-$H$10</f>
        <v>0</v>
      </c>
      <c r="E117" s="971">
        <v>47</v>
      </c>
      <c r="F117" s="971">
        <v>20</v>
      </c>
      <c r="G117" s="971">
        <v>1</v>
      </c>
      <c r="H117" s="971">
        <v>1</v>
      </c>
      <c r="I117" s="971">
        <v>1</v>
      </c>
      <c r="J117" s="971">
        <v>1.1000000000000001</v>
      </c>
      <c r="K117" s="971">
        <v>1</v>
      </c>
      <c r="L117" s="971">
        <v>0.92</v>
      </c>
      <c r="M117" s="971">
        <f t="shared" si="6"/>
        <v>0</v>
      </c>
    </row>
    <row r="118" spans="1:13" ht="13.8" thickBot="1">
      <c r="A118" s="2254"/>
      <c r="B118" s="2254"/>
      <c r="C118" s="991" t="s">
        <v>1462</v>
      </c>
      <c r="D118" s="971">
        <f>-$H$14-H11-H12</f>
        <v>0</v>
      </c>
      <c r="E118" s="971">
        <v>47</v>
      </c>
      <c r="F118" s="971">
        <v>20</v>
      </c>
      <c r="G118" s="971">
        <v>1</v>
      </c>
      <c r="H118" s="971">
        <v>1</v>
      </c>
      <c r="I118" s="971">
        <v>1</v>
      </c>
      <c r="J118" s="971">
        <v>1</v>
      </c>
      <c r="K118" s="971">
        <v>1</v>
      </c>
      <c r="L118" s="971">
        <v>0.92</v>
      </c>
      <c r="M118" s="971">
        <f t="shared" si="6"/>
        <v>0</v>
      </c>
    </row>
    <row r="119" spans="1:13" ht="13.8" thickBot="1">
      <c r="A119" s="2254"/>
      <c r="B119" s="2254"/>
      <c r="C119" s="992" t="s">
        <v>1474</v>
      </c>
      <c r="D119" s="971">
        <f>-$H$15</f>
        <v>0</v>
      </c>
      <c r="E119" s="971">
        <v>47</v>
      </c>
      <c r="F119" s="971">
        <v>20</v>
      </c>
      <c r="G119" s="971">
        <v>1</v>
      </c>
      <c r="H119" s="971">
        <v>1</v>
      </c>
      <c r="I119" s="971">
        <v>1</v>
      </c>
      <c r="J119" s="971">
        <v>0.82</v>
      </c>
      <c r="K119" s="971">
        <v>1</v>
      </c>
      <c r="L119" s="971">
        <v>0.92</v>
      </c>
      <c r="M119" s="971">
        <f t="shared" si="6"/>
        <v>0</v>
      </c>
    </row>
    <row r="120" spans="1:13" ht="13.8" thickBot="1">
      <c r="A120" s="2254"/>
      <c r="B120" s="2254"/>
      <c r="C120" s="992" t="s">
        <v>1475</v>
      </c>
      <c r="D120" s="980"/>
      <c r="E120" s="971">
        <v>47</v>
      </c>
      <c r="F120" s="971">
        <v>20</v>
      </c>
      <c r="G120" s="971">
        <v>1</v>
      </c>
      <c r="H120" s="971">
        <v>1</v>
      </c>
      <c r="I120" s="971">
        <v>1</v>
      </c>
      <c r="J120" s="971">
        <v>0.82</v>
      </c>
      <c r="K120" s="971">
        <v>1</v>
      </c>
      <c r="L120" s="971">
        <v>0.92</v>
      </c>
      <c r="M120" s="971">
        <f t="shared" si="6"/>
        <v>0</v>
      </c>
    </row>
    <row r="121" spans="1:13" ht="13.8" thickBot="1">
      <c r="A121" s="2255"/>
      <c r="B121" s="2255"/>
      <c r="C121" s="992" t="s">
        <v>1439</v>
      </c>
      <c r="D121" s="971"/>
      <c r="E121" s="971">
        <v>47</v>
      </c>
      <c r="F121" s="971">
        <v>20</v>
      </c>
      <c r="G121" s="971">
        <v>1</v>
      </c>
      <c r="H121" s="971">
        <v>1</v>
      </c>
      <c r="I121" s="971">
        <v>1</v>
      </c>
      <c r="J121" s="971">
        <v>1</v>
      </c>
      <c r="K121" s="971">
        <v>1</v>
      </c>
      <c r="L121" s="971">
        <v>0.92</v>
      </c>
      <c r="M121" s="971">
        <f t="shared" si="6"/>
        <v>0</v>
      </c>
    </row>
    <row r="122" spans="1:13" ht="13.8" thickBot="1">
      <c r="A122" s="2366" t="s">
        <v>1230</v>
      </c>
      <c r="B122" s="2243"/>
      <c r="C122" s="2311"/>
      <c r="D122" s="970"/>
      <c r="E122" s="970"/>
      <c r="F122" s="970"/>
      <c r="G122" s="970"/>
      <c r="H122" s="970"/>
      <c r="I122" s="970"/>
      <c r="J122" s="993"/>
      <c r="K122" s="993"/>
      <c r="L122" s="993"/>
      <c r="M122" s="491">
        <f>SUM(M116:M121)</f>
        <v>0</v>
      </c>
    </row>
    <row r="123" spans="1:13" ht="13.8" thickBot="1">
      <c r="A123" s="2367" t="s">
        <v>250</v>
      </c>
      <c r="B123" s="2234"/>
      <c r="C123" s="2235"/>
      <c r="D123" s="962"/>
      <c r="E123" s="962"/>
      <c r="F123" s="962"/>
      <c r="G123" s="962"/>
      <c r="H123" s="962"/>
      <c r="I123" s="962"/>
      <c r="J123" s="962"/>
      <c r="K123" s="962"/>
      <c r="L123" s="962"/>
      <c r="M123" s="961">
        <f>M122</f>
        <v>0</v>
      </c>
    </row>
    <row r="124" spans="1:13" ht="14.4">
      <c r="A124" s="2369" t="s">
        <v>1489</v>
      </c>
      <c r="B124" s="2369"/>
      <c r="C124" s="2369"/>
      <c r="D124" s="2369"/>
      <c r="E124" s="2369"/>
      <c r="F124" s="2369"/>
      <c r="G124" s="2369"/>
      <c r="H124" s="2369"/>
      <c r="I124" s="2369"/>
      <c r="J124" s="2369"/>
      <c r="K124" s="2369"/>
      <c r="L124" s="2369"/>
      <c r="M124" s="2369"/>
    </row>
    <row r="125" spans="1:13">
      <c r="A125" s="289" t="s">
        <v>1490</v>
      </c>
    </row>
    <row r="126" spans="1:13">
      <c r="A126" s="289"/>
    </row>
    <row r="127" spans="1:13" ht="14.1" customHeight="1" thickBot="1">
      <c r="A127" s="496" t="s">
        <v>1491</v>
      </c>
      <c r="B127" s="496"/>
      <c r="C127" s="496"/>
      <c r="D127" s="496"/>
      <c r="E127" s="496"/>
      <c r="F127" s="496"/>
    </row>
    <row r="128" spans="1:13" ht="13.8" thickBot="1">
      <c r="A128" s="2339" t="s">
        <v>1183</v>
      </c>
      <c r="B128" s="2271"/>
      <c r="C128" s="498" t="s">
        <v>1184</v>
      </c>
      <c r="D128" s="2364" t="s">
        <v>1301</v>
      </c>
      <c r="E128" s="2245"/>
      <c r="F128" s="2318"/>
    </row>
    <row r="129" spans="1:6" ht="27" thickBot="1">
      <c r="A129" s="2355" t="s">
        <v>1187</v>
      </c>
      <c r="B129" s="2269"/>
      <c r="C129" s="2272" t="s">
        <v>1188</v>
      </c>
      <c r="D129" s="957" t="s">
        <v>1413</v>
      </c>
      <c r="E129" s="957" t="s">
        <v>1303</v>
      </c>
      <c r="F129" s="957" t="s">
        <v>1414</v>
      </c>
    </row>
    <row r="130" spans="1:6" ht="15" thickBot="1">
      <c r="A130" s="2253" t="s">
        <v>1312</v>
      </c>
      <c r="B130" s="2253" t="s">
        <v>1196</v>
      </c>
      <c r="C130" s="2251"/>
      <c r="D130" s="965" t="s">
        <v>1197</v>
      </c>
      <c r="E130" s="965" t="s">
        <v>1305</v>
      </c>
      <c r="F130" s="965" t="s">
        <v>1201</v>
      </c>
    </row>
    <row r="131" spans="1:6" ht="15" thickBot="1">
      <c r="A131" s="2254"/>
      <c r="B131" s="2254"/>
      <c r="C131" s="2251"/>
      <c r="D131" s="965"/>
      <c r="E131" s="965" t="s">
        <v>1416</v>
      </c>
      <c r="F131" s="994" t="s">
        <v>1492</v>
      </c>
    </row>
    <row r="132" spans="1:6" ht="15" thickBot="1">
      <c r="A132" s="2278"/>
      <c r="B132" s="2278"/>
      <c r="C132" s="2277"/>
      <c r="D132" s="393" t="s">
        <v>1213</v>
      </c>
      <c r="E132" s="393" t="s">
        <v>886</v>
      </c>
      <c r="F132" s="872" t="s">
        <v>1308</v>
      </c>
    </row>
    <row r="133" spans="1:6" ht="14.4" thickTop="1" thickBot="1">
      <c r="A133" s="2264"/>
      <c r="B133" s="2264" t="s">
        <v>1338</v>
      </c>
      <c r="C133" s="991" t="s">
        <v>1460</v>
      </c>
      <c r="D133" s="971">
        <f>-$H$13</f>
        <v>0</v>
      </c>
      <c r="E133" s="964">
        <v>20</v>
      </c>
      <c r="F133" s="968">
        <f t="shared" ref="F133:F138" si="7">D133*E133</f>
        <v>0</v>
      </c>
    </row>
    <row r="134" spans="1:6" ht="13.8" thickBot="1">
      <c r="A134" s="2254"/>
      <c r="B134" s="2254"/>
      <c r="C134" s="991" t="s">
        <v>1461</v>
      </c>
      <c r="D134" s="971">
        <f>-$H$10</f>
        <v>0</v>
      </c>
      <c r="E134" s="964">
        <v>20</v>
      </c>
      <c r="F134" s="968">
        <f t="shared" si="7"/>
        <v>0</v>
      </c>
    </row>
    <row r="135" spans="1:6" ht="13.8" thickBot="1">
      <c r="A135" s="2254"/>
      <c r="B135" s="2254"/>
      <c r="C135" s="991" t="s">
        <v>1462</v>
      </c>
      <c r="D135" s="971">
        <f>-$H$14-H11-H12</f>
        <v>0</v>
      </c>
      <c r="E135" s="964">
        <v>20</v>
      </c>
      <c r="F135" s="968">
        <f t="shared" si="7"/>
        <v>0</v>
      </c>
    </row>
    <row r="136" spans="1:6" ht="13.8" thickBot="1">
      <c r="A136" s="2254"/>
      <c r="B136" s="2254"/>
      <c r="C136" s="992" t="s">
        <v>1474</v>
      </c>
      <c r="D136" s="971">
        <f>-$H$15</f>
        <v>0</v>
      </c>
      <c r="E136" s="964">
        <v>20</v>
      </c>
      <c r="F136" s="968">
        <f t="shared" si="7"/>
        <v>0</v>
      </c>
    </row>
    <row r="137" spans="1:6" ht="13.8" thickBot="1">
      <c r="A137" s="2254"/>
      <c r="B137" s="2254"/>
      <c r="C137" s="992" t="s">
        <v>1475</v>
      </c>
      <c r="D137" s="980"/>
      <c r="E137" s="964">
        <v>20</v>
      </c>
      <c r="F137" s="968">
        <f t="shared" si="7"/>
        <v>0</v>
      </c>
    </row>
    <row r="138" spans="1:6" ht="13.8" thickBot="1">
      <c r="A138" s="2255"/>
      <c r="B138" s="2255"/>
      <c r="C138" s="992" t="s">
        <v>1439</v>
      </c>
      <c r="D138" s="971"/>
      <c r="E138" s="964">
        <v>20</v>
      </c>
      <c r="F138" s="968">
        <f t="shared" si="7"/>
        <v>0</v>
      </c>
    </row>
    <row r="139" spans="1:6" ht="13.8" thickBot="1">
      <c r="A139" s="2372" t="s">
        <v>1230</v>
      </c>
      <c r="B139" s="2373"/>
      <c r="C139" s="2374"/>
      <c r="D139" s="970"/>
      <c r="E139" s="970"/>
      <c r="F139" s="491">
        <f>SUM(F133:F138)</f>
        <v>0</v>
      </c>
    </row>
    <row r="140" spans="1:6" ht="13.8" thickBot="1">
      <c r="A140" s="2367" t="s">
        <v>250</v>
      </c>
      <c r="B140" s="2234"/>
      <c r="C140" s="2279"/>
      <c r="D140" s="514"/>
      <c r="E140" s="514"/>
      <c r="F140" s="515">
        <f>F139</f>
        <v>0</v>
      </c>
    </row>
    <row r="141" spans="1:6" ht="14.4">
      <c r="A141" s="2369" t="s">
        <v>1489</v>
      </c>
      <c r="B141" s="2369"/>
      <c r="C141" s="2369"/>
      <c r="D141" s="2369"/>
      <c r="E141" s="2369"/>
      <c r="F141" s="2369"/>
    </row>
  </sheetData>
  <mergeCells count="129">
    <mergeCell ref="F111:F112"/>
    <mergeCell ref="G111:G112"/>
    <mergeCell ref="H111:H112"/>
    <mergeCell ref="A100:C100"/>
    <mergeCell ref="H108:H110"/>
    <mergeCell ref="I108:I110"/>
    <mergeCell ref="J108:J110"/>
    <mergeCell ref="K108:K110"/>
    <mergeCell ref="L108:L110"/>
    <mergeCell ref="A139:C139"/>
    <mergeCell ref="A140:C140"/>
    <mergeCell ref="A141:F141"/>
    <mergeCell ref="A129:B129"/>
    <mergeCell ref="C129:C132"/>
    <mergeCell ref="A130:A132"/>
    <mergeCell ref="B130:B132"/>
    <mergeCell ref="A133:A138"/>
    <mergeCell ref="B133:B138"/>
    <mergeCell ref="A123:C123"/>
    <mergeCell ref="A124:M124"/>
    <mergeCell ref="A128:B128"/>
    <mergeCell ref="D128:F128"/>
    <mergeCell ref="J113:J114"/>
    <mergeCell ref="K113:K114"/>
    <mergeCell ref="L113:L114"/>
    <mergeCell ref="A116:A121"/>
    <mergeCell ref="B116:B121"/>
    <mergeCell ref="A122:C122"/>
    <mergeCell ref="M108:M110"/>
    <mergeCell ref="A101:C101"/>
    <mergeCell ref="A102:H102"/>
    <mergeCell ref="A103:H103"/>
    <mergeCell ref="A107:B107"/>
    <mergeCell ref="D107:M107"/>
    <mergeCell ref="A108:B110"/>
    <mergeCell ref="C108:C115"/>
    <mergeCell ref="D108:D110"/>
    <mergeCell ref="F108:F110"/>
    <mergeCell ref="G108:G110"/>
    <mergeCell ref="D113:D114"/>
    <mergeCell ref="E113:E114"/>
    <mergeCell ref="F113:F114"/>
    <mergeCell ref="G113:G114"/>
    <mergeCell ref="H113:H114"/>
    <mergeCell ref="I113:I114"/>
    <mergeCell ref="A111:A115"/>
    <mergeCell ref="B111:B115"/>
    <mergeCell ref="I111:I112"/>
    <mergeCell ref="J111:J112"/>
    <mergeCell ref="K111:K112"/>
    <mergeCell ref="L111:L112"/>
    <mergeCell ref="D111:D112"/>
    <mergeCell ref="A94:A99"/>
    <mergeCell ref="B94:B99"/>
    <mergeCell ref="A85:C85"/>
    <mergeCell ref="A86:I86"/>
    <mergeCell ref="A89:B89"/>
    <mergeCell ref="D89:H89"/>
    <mergeCell ref="A90:B90"/>
    <mergeCell ref="C90:C93"/>
    <mergeCell ref="A91:A93"/>
    <mergeCell ref="B91:B93"/>
    <mergeCell ref="A78:A83"/>
    <mergeCell ref="B78:B83"/>
    <mergeCell ref="A84:C84"/>
    <mergeCell ref="A73:B73"/>
    <mergeCell ref="C73:C77"/>
    <mergeCell ref="A74:A77"/>
    <mergeCell ref="B74:B77"/>
    <mergeCell ref="D74:D75"/>
    <mergeCell ref="I74:I75"/>
    <mergeCell ref="A62:A67"/>
    <mergeCell ref="B62:B67"/>
    <mergeCell ref="A68:C68"/>
    <mergeCell ref="A72:B72"/>
    <mergeCell ref="D72:F72"/>
    <mergeCell ref="G72:I72"/>
    <mergeCell ref="A48:A53"/>
    <mergeCell ref="B48:B53"/>
    <mergeCell ref="A54:C54"/>
    <mergeCell ref="A57:B57"/>
    <mergeCell ref="D57:F57"/>
    <mergeCell ref="A58:B58"/>
    <mergeCell ref="C58:C61"/>
    <mergeCell ref="A59:A61"/>
    <mergeCell ref="B59:B61"/>
    <mergeCell ref="H42:H44"/>
    <mergeCell ref="I42:I44"/>
    <mergeCell ref="J42:J44"/>
    <mergeCell ref="K42:K44"/>
    <mergeCell ref="L42:L44"/>
    <mergeCell ref="A45:A47"/>
    <mergeCell ref="B45:B47"/>
    <mergeCell ref="A37:C37"/>
    <mergeCell ref="A38:G38"/>
    <mergeCell ref="A41:B41"/>
    <mergeCell ref="D41:L41"/>
    <mergeCell ref="A42:B44"/>
    <mergeCell ref="C42:C47"/>
    <mergeCell ref="D42:D44"/>
    <mergeCell ref="E42:E44"/>
    <mergeCell ref="F42:F44"/>
    <mergeCell ref="G42:G44"/>
    <mergeCell ref="A28:B28"/>
    <mergeCell ref="C28:C31"/>
    <mergeCell ref="A29:A31"/>
    <mergeCell ref="B29:B31"/>
    <mergeCell ref="A32:A36"/>
    <mergeCell ref="B32:B36"/>
    <mergeCell ref="E18:E19"/>
    <mergeCell ref="G18:G19"/>
    <mergeCell ref="H18:H19"/>
    <mergeCell ref="A8:B9"/>
    <mergeCell ref="F8:G8"/>
    <mergeCell ref="A10:B10"/>
    <mergeCell ref="A12:B12"/>
    <mergeCell ref="I18:I19"/>
    <mergeCell ref="A27:B27"/>
    <mergeCell ref="D27:G27"/>
    <mergeCell ref="A11:B11"/>
    <mergeCell ref="A13:B13"/>
    <mergeCell ref="A14:B14"/>
    <mergeCell ref="A15:B15"/>
    <mergeCell ref="A18:C19"/>
    <mergeCell ref="D18:D19"/>
    <mergeCell ref="H8:H9"/>
    <mergeCell ref="C8:C9"/>
    <mergeCell ref="D8:E8"/>
    <mergeCell ref="A16:C16"/>
  </mergeCells>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B962E2-F3C7-4DAE-8DC5-B8BDB4D6108D}">
          <x14:formula1>
            <xm:f>'V.1 Livestock'!$T$11:$T$14</xm:f>
          </x14:formula1>
          <xm:sqref>C10:C15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fitToPage="1"/>
  </sheetPr>
  <dimension ref="A1:AS239"/>
  <sheetViews>
    <sheetView view="pageBreakPreview" zoomScaleNormal="100" zoomScaleSheetLayoutView="100" workbookViewId="0">
      <selection activeCell="L92" sqref="L92"/>
    </sheetView>
  </sheetViews>
  <sheetFormatPr defaultColWidth="12.44140625" defaultRowHeight="13.2" outlineLevelRow="1"/>
  <cols>
    <col min="1" max="1" width="2.33203125" style="263" customWidth="1"/>
    <col min="2" max="2" width="15.44140625" style="283" customWidth="1"/>
    <col min="3" max="3" width="3.44140625" style="268" customWidth="1"/>
    <col min="4" max="4" width="15.44140625" style="268" customWidth="1"/>
    <col min="5" max="7" width="10.6640625" style="268" customWidth="1"/>
    <col min="8" max="8" width="10.44140625" style="268" customWidth="1"/>
    <col min="9" max="10" width="10.6640625" style="284" customWidth="1"/>
    <col min="11" max="11" width="14" style="284" customWidth="1"/>
    <col min="12" max="12" width="32.33203125" style="263" bestFit="1" customWidth="1"/>
    <col min="13" max="13" width="19.44140625" style="263" bestFit="1" customWidth="1"/>
    <col min="14" max="14" width="12.44140625" style="263" customWidth="1"/>
    <col min="15" max="15" width="12.44140625" style="263"/>
    <col min="16" max="16" width="12.44140625" style="268"/>
    <col min="17" max="45" width="12.44140625" style="263"/>
    <col min="46" max="16384" width="12.44140625" style="268"/>
  </cols>
  <sheetData>
    <row r="1" spans="2:16" s="263" customFormat="1" ht="15" customHeight="1">
      <c r="B1" s="264"/>
      <c r="I1" s="265"/>
      <c r="J1" s="265"/>
      <c r="K1" s="265"/>
    </row>
    <row r="2" spans="2:16" s="263" customFormat="1" ht="15" customHeight="1">
      <c r="B2" s="266" t="s">
        <v>0</v>
      </c>
      <c r="I2" s="265"/>
      <c r="J2" s="265"/>
      <c r="K2" s="265"/>
    </row>
    <row r="3" spans="2:16" s="263" customFormat="1" ht="15" customHeight="1">
      <c r="B3" s="264"/>
      <c r="I3" s="265"/>
      <c r="J3" s="265"/>
      <c r="K3" s="265"/>
    </row>
    <row r="4" spans="2:16" s="263" customFormat="1" ht="15" customHeight="1">
      <c r="B4" s="266" t="s">
        <v>1</v>
      </c>
      <c r="I4" s="265"/>
      <c r="J4" s="265"/>
      <c r="K4" s="265"/>
    </row>
    <row r="5" spans="2:16" s="263" customFormat="1" ht="15" customHeight="1" thickBot="1">
      <c r="B5" s="264"/>
      <c r="I5" s="265"/>
      <c r="J5" s="265"/>
      <c r="K5" s="265"/>
    </row>
    <row r="6" spans="2:16" ht="15" customHeight="1">
      <c r="B6" s="1935" t="s">
        <v>2</v>
      </c>
      <c r="C6" s="1936"/>
      <c r="D6" s="1936"/>
      <c r="E6" s="1937"/>
      <c r="F6" s="267"/>
      <c r="G6" s="267"/>
      <c r="H6" s="1147"/>
      <c r="I6" s="1148" t="s">
        <v>3</v>
      </c>
      <c r="J6" s="1148" t="s">
        <v>4</v>
      </c>
      <c r="K6" s="1149" t="s">
        <v>5</v>
      </c>
      <c r="P6" s="263"/>
    </row>
    <row r="7" spans="2:16" s="269" customFormat="1" ht="15" customHeight="1">
      <c r="B7" s="893" t="s">
        <v>6</v>
      </c>
      <c r="C7" s="755"/>
      <c r="D7" s="755"/>
      <c r="E7" s="755"/>
      <c r="F7" s="755"/>
      <c r="G7" s="755"/>
      <c r="H7" s="755"/>
      <c r="I7" s="755"/>
      <c r="J7" s="755"/>
      <c r="K7" s="894"/>
    </row>
    <row r="8" spans="2:16" ht="15" customHeight="1">
      <c r="B8" s="1926" t="s">
        <v>7</v>
      </c>
      <c r="C8" s="1927"/>
      <c r="D8" s="1927"/>
      <c r="E8" s="1928"/>
      <c r="F8" s="849"/>
      <c r="G8" s="849"/>
      <c r="H8" s="756"/>
      <c r="I8" s="757" t="s">
        <v>8</v>
      </c>
      <c r="J8" s="757" t="s">
        <v>8</v>
      </c>
      <c r="K8" s="758" t="s">
        <v>8</v>
      </c>
      <c r="P8" s="263"/>
    </row>
    <row r="9" spans="2:16" ht="15" customHeight="1">
      <c r="B9" s="1926" t="s">
        <v>9</v>
      </c>
      <c r="C9" s="1927"/>
      <c r="D9" s="1927"/>
      <c r="E9" s="1928"/>
      <c r="F9" s="849"/>
      <c r="G9" s="849"/>
      <c r="H9" s="756"/>
      <c r="I9" s="757" t="s">
        <v>8</v>
      </c>
      <c r="J9" s="757" t="s">
        <v>8</v>
      </c>
      <c r="K9" s="758" t="s">
        <v>8</v>
      </c>
      <c r="P9" s="263"/>
    </row>
    <row r="10" spans="2:16" ht="15" customHeight="1">
      <c r="B10" s="1926" t="s">
        <v>10</v>
      </c>
      <c r="C10" s="1927"/>
      <c r="D10" s="1927"/>
      <c r="E10" s="1928"/>
      <c r="F10" s="849"/>
      <c r="G10" s="849"/>
      <c r="H10" s="756"/>
      <c r="I10" s="757" t="s">
        <v>8</v>
      </c>
      <c r="J10" s="757" t="s">
        <v>8</v>
      </c>
      <c r="K10" s="758" t="s">
        <v>8</v>
      </c>
      <c r="P10" s="263"/>
    </row>
    <row r="11" spans="2:16" ht="15" customHeight="1">
      <c r="B11" s="1926" t="s">
        <v>11</v>
      </c>
      <c r="C11" s="1927"/>
      <c r="D11" s="1927"/>
      <c r="E11" s="1928"/>
      <c r="F11" s="849"/>
      <c r="G11" s="849"/>
      <c r="H11" s="756"/>
      <c r="I11" s="757" t="s">
        <v>8</v>
      </c>
      <c r="J11" s="757" t="s">
        <v>8</v>
      </c>
      <c r="K11" s="758" t="s">
        <v>8</v>
      </c>
      <c r="P11" s="263"/>
    </row>
    <row r="12" spans="2:16" ht="15" customHeight="1">
      <c r="B12" s="1926" t="s">
        <v>12</v>
      </c>
      <c r="C12" s="1927"/>
      <c r="D12" s="1927"/>
      <c r="E12" s="1928"/>
      <c r="F12" s="849"/>
      <c r="G12" s="849"/>
      <c r="H12" s="756"/>
      <c r="I12" s="757" t="s">
        <v>8</v>
      </c>
      <c r="J12" s="757" t="s">
        <v>8</v>
      </c>
      <c r="K12" s="758" t="s">
        <v>8</v>
      </c>
      <c r="P12" s="263"/>
    </row>
    <row r="13" spans="2:16" ht="15" customHeight="1">
      <c r="B13" s="1926" t="s">
        <v>13</v>
      </c>
      <c r="C13" s="1927"/>
      <c r="D13" s="1927"/>
      <c r="E13" s="1928"/>
      <c r="F13" s="849"/>
      <c r="G13" s="849"/>
      <c r="H13" s="756"/>
      <c r="I13" s="759" t="s">
        <v>8</v>
      </c>
      <c r="J13" s="760"/>
      <c r="K13" s="761"/>
      <c r="P13" s="263"/>
    </row>
    <row r="14" spans="2:16" ht="15" customHeight="1">
      <c r="B14" s="1933" t="s">
        <v>14</v>
      </c>
      <c r="C14" s="1934"/>
      <c r="D14" s="1934"/>
      <c r="E14" s="1934"/>
      <c r="F14" s="849"/>
      <c r="G14" s="849"/>
      <c r="H14" s="756"/>
      <c r="I14" s="757" t="s">
        <v>8</v>
      </c>
      <c r="J14" s="757" t="s">
        <v>8</v>
      </c>
      <c r="K14" s="758" t="s">
        <v>8</v>
      </c>
      <c r="P14" s="263"/>
    </row>
    <row r="15" spans="2:16" ht="15" customHeight="1">
      <c r="B15" s="1926" t="s">
        <v>15</v>
      </c>
      <c r="C15" s="1927"/>
      <c r="D15" s="1927"/>
      <c r="E15" s="1928"/>
      <c r="F15" s="849"/>
      <c r="G15" s="849"/>
      <c r="H15" s="756"/>
      <c r="I15" s="757" t="s">
        <v>8</v>
      </c>
      <c r="J15" s="757" t="s">
        <v>8</v>
      </c>
      <c r="K15" s="758" t="s">
        <v>8</v>
      </c>
      <c r="P15" s="263"/>
    </row>
    <row r="16" spans="2:16" ht="15" customHeight="1">
      <c r="B16" s="270" t="s">
        <v>16</v>
      </c>
      <c r="C16" s="271"/>
      <c r="D16" s="271"/>
      <c r="E16" s="271"/>
      <c r="F16" s="271"/>
      <c r="G16" s="271"/>
      <c r="H16" s="756"/>
      <c r="I16" s="757" t="s">
        <v>8</v>
      </c>
      <c r="J16" s="762"/>
      <c r="K16" s="763"/>
      <c r="P16" s="263"/>
    </row>
    <row r="17" spans="1:16" ht="15" customHeight="1">
      <c r="B17" s="895" t="s">
        <v>17</v>
      </c>
      <c r="C17" s="764"/>
      <c r="D17" s="764"/>
      <c r="E17" s="764"/>
      <c r="F17" s="849"/>
      <c r="G17" s="849"/>
      <c r="H17" s="756"/>
      <c r="I17" s="757" t="s">
        <v>8</v>
      </c>
      <c r="J17" s="762"/>
      <c r="K17" s="765"/>
      <c r="P17" s="263"/>
    </row>
    <row r="18" spans="1:16" s="269" customFormat="1" ht="15" customHeight="1">
      <c r="B18" s="893" t="s">
        <v>18</v>
      </c>
      <c r="C18" s="755"/>
      <c r="D18" s="755"/>
      <c r="E18" s="755"/>
      <c r="F18" s="755"/>
      <c r="G18" s="755"/>
      <c r="H18" s="755"/>
      <c r="I18" s="755"/>
      <c r="J18" s="755"/>
      <c r="K18" s="894"/>
    </row>
    <row r="19" spans="1:16" ht="15" customHeight="1">
      <c r="B19" s="1926" t="s">
        <v>19</v>
      </c>
      <c r="C19" s="1927"/>
      <c r="D19" s="1927"/>
      <c r="E19" s="1928"/>
      <c r="F19" s="849"/>
      <c r="G19" s="849"/>
      <c r="H19" s="756"/>
      <c r="I19" s="757" t="s">
        <v>8</v>
      </c>
      <c r="J19" s="757" t="s">
        <v>8</v>
      </c>
      <c r="K19" s="758" t="s">
        <v>8</v>
      </c>
      <c r="P19" s="263"/>
    </row>
    <row r="20" spans="1:16" ht="15" customHeight="1">
      <c r="B20" s="1926" t="s">
        <v>20</v>
      </c>
      <c r="C20" s="1927"/>
      <c r="D20" s="1927"/>
      <c r="E20" s="1928"/>
      <c r="F20" s="849"/>
      <c r="G20" s="849"/>
      <c r="H20" s="756"/>
      <c r="I20" s="757" t="s">
        <v>8</v>
      </c>
      <c r="J20" s="757" t="s">
        <v>8</v>
      </c>
      <c r="K20" s="758" t="s">
        <v>8</v>
      </c>
      <c r="P20" s="263"/>
    </row>
    <row r="21" spans="1:16" ht="15" customHeight="1">
      <c r="B21" s="1926" t="s">
        <v>21</v>
      </c>
      <c r="C21" s="1927"/>
      <c r="D21" s="1927"/>
      <c r="E21" s="1928"/>
      <c r="F21" s="849"/>
      <c r="G21" s="849"/>
      <c r="H21" s="756"/>
      <c r="I21" s="757" t="s">
        <v>8</v>
      </c>
      <c r="J21" s="757" t="s">
        <v>8</v>
      </c>
      <c r="K21" s="758" t="s">
        <v>8</v>
      </c>
      <c r="P21" s="263"/>
    </row>
    <row r="22" spans="1:16" ht="15" customHeight="1">
      <c r="B22" s="1926" t="s">
        <v>22</v>
      </c>
      <c r="C22" s="1927"/>
      <c r="D22" s="1927"/>
      <c r="E22" s="1928"/>
      <c r="F22" s="849"/>
      <c r="G22" s="849"/>
      <c r="H22" s="756"/>
      <c r="I22" s="757" t="s">
        <v>8</v>
      </c>
      <c r="J22" s="757" t="s">
        <v>8</v>
      </c>
      <c r="K22" s="758" t="s">
        <v>8</v>
      </c>
      <c r="P22" s="263"/>
    </row>
    <row r="23" spans="1:16" ht="15" customHeight="1">
      <c r="B23" s="1926" t="s">
        <v>23</v>
      </c>
      <c r="C23" s="1927"/>
      <c r="D23" s="1927"/>
      <c r="E23" s="1929"/>
      <c r="F23" s="849"/>
      <c r="G23" s="849"/>
      <c r="H23" s="756"/>
      <c r="I23" s="757" t="s">
        <v>8</v>
      </c>
      <c r="J23" s="757" t="s">
        <v>8</v>
      </c>
      <c r="K23" s="765"/>
      <c r="P23" s="263"/>
    </row>
    <row r="24" spans="1:16" s="263" customFormat="1" ht="15" customHeight="1">
      <c r="A24" s="272"/>
      <c r="B24" s="893" t="s">
        <v>24</v>
      </c>
      <c r="C24" s="755"/>
      <c r="D24" s="755"/>
      <c r="E24" s="755"/>
      <c r="F24" s="755"/>
      <c r="G24" s="755"/>
      <c r="H24" s="755"/>
      <c r="I24" s="755"/>
      <c r="J24" s="755"/>
      <c r="K24" s="894"/>
    </row>
    <row r="25" spans="1:16" ht="15" customHeight="1">
      <c r="B25" s="1930" t="s">
        <v>25</v>
      </c>
      <c r="C25" s="1931"/>
      <c r="D25" s="1931"/>
      <c r="E25" s="1932"/>
      <c r="F25" s="766"/>
      <c r="G25" s="766"/>
      <c r="H25" s="767"/>
      <c r="I25" s="757" t="s">
        <v>8</v>
      </c>
      <c r="J25" s="768"/>
      <c r="K25" s="769" t="s">
        <v>8</v>
      </c>
      <c r="P25" s="263"/>
    </row>
    <row r="26" spans="1:16" ht="15" customHeight="1">
      <c r="B26" s="1938" t="s">
        <v>26</v>
      </c>
      <c r="C26" s="1939"/>
      <c r="D26" s="1939"/>
      <c r="E26" s="1940"/>
      <c r="F26" s="770"/>
      <c r="G26" s="770"/>
      <c r="H26" s="771"/>
      <c r="I26" s="772" t="s">
        <v>8</v>
      </c>
      <c r="J26" s="768"/>
      <c r="K26" s="761"/>
      <c r="P26" s="263"/>
    </row>
    <row r="27" spans="1:16" ht="15" customHeight="1">
      <c r="B27" s="1941" t="s">
        <v>27</v>
      </c>
      <c r="C27" s="1942"/>
      <c r="D27" s="1942"/>
      <c r="E27" s="1943"/>
      <c r="F27" s="271"/>
      <c r="G27" s="271"/>
      <c r="H27" s="756"/>
      <c r="I27" s="757" t="s">
        <v>8</v>
      </c>
      <c r="J27" s="768"/>
      <c r="K27" s="769" t="s">
        <v>8</v>
      </c>
      <c r="P27" s="263"/>
    </row>
    <row r="28" spans="1:16" ht="15" customHeight="1">
      <c r="B28" s="1938" t="s">
        <v>28</v>
      </c>
      <c r="C28" s="1939"/>
      <c r="D28" s="1939"/>
      <c r="E28" s="1940"/>
      <c r="F28" s="770"/>
      <c r="G28" s="770"/>
      <c r="H28" s="771"/>
      <c r="I28" s="772" t="s">
        <v>8</v>
      </c>
      <c r="J28" s="768"/>
      <c r="K28" s="761"/>
      <c r="P28" s="263"/>
    </row>
    <row r="29" spans="1:16" ht="15" customHeight="1">
      <c r="B29" s="895" t="s">
        <v>29</v>
      </c>
      <c r="C29" s="764"/>
      <c r="D29" s="764"/>
      <c r="E29" s="764"/>
      <c r="F29" s="271"/>
      <c r="G29" s="271"/>
      <c r="H29" s="756"/>
      <c r="I29" s="757" t="s">
        <v>8</v>
      </c>
      <c r="J29" s="762"/>
      <c r="K29" s="769" t="s">
        <v>8</v>
      </c>
      <c r="P29" s="263"/>
    </row>
    <row r="30" spans="1:16" ht="15" customHeight="1">
      <c r="B30" s="896" t="s">
        <v>30</v>
      </c>
      <c r="C30" s="773"/>
      <c r="D30" s="773"/>
      <c r="E30" s="773"/>
      <c r="F30" s="770"/>
      <c r="G30" s="770"/>
      <c r="H30" s="771"/>
      <c r="I30" s="772" t="s">
        <v>8</v>
      </c>
      <c r="J30" s="762"/>
      <c r="K30" s="761"/>
      <c r="P30" s="263"/>
    </row>
    <row r="31" spans="1:16" ht="15" customHeight="1">
      <c r="B31" s="895" t="s">
        <v>31</v>
      </c>
      <c r="C31" s="764"/>
      <c r="D31" s="764"/>
      <c r="E31" s="764"/>
      <c r="F31" s="271"/>
      <c r="G31" s="271"/>
      <c r="H31" s="756"/>
      <c r="I31" s="757" t="s">
        <v>8</v>
      </c>
      <c r="J31" s="762"/>
      <c r="K31" s="769" t="s">
        <v>8</v>
      </c>
      <c r="P31" s="263"/>
    </row>
    <row r="32" spans="1:16" ht="15" customHeight="1">
      <c r="B32" s="896" t="s">
        <v>32</v>
      </c>
      <c r="C32" s="773"/>
      <c r="D32" s="773"/>
      <c r="E32" s="773"/>
      <c r="F32" s="770"/>
      <c r="G32" s="770"/>
      <c r="H32" s="771"/>
      <c r="I32" s="772" t="s">
        <v>8</v>
      </c>
      <c r="J32" s="762"/>
      <c r="K32" s="761"/>
      <c r="P32" s="263"/>
    </row>
    <row r="33" spans="1:16" s="263" customFormat="1" ht="15" customHeight="1">
      <c r="A33" s="272"/>
      <c r="B33" s="273" t="s">
        <v>33</v>
      </c>
      <c r="C33" s="774"/>
      <c r="D33" s="774"/>
      <c r="E33" s="774"/>
      <c r="F33" s="774"/>
      <c r="G33" s="774"/>
      <c r="H33" s="774"/>
      <c r="I33" s="774"/>
      <c r="J33" s="774"/>
      <c r="K33" s="274"/>
    </row>
    <row r="34" spans="1:16" ht="15" customHeight="1">
      <c r="A34" s="272"/>
      <c r="B34" s="1926" t="s">
        <v>34</v>
      </c>
      <c r="C34" s="1927"/>
      <c r="D34" s="1927"/>
      <c r="E34" s="1928"/>
      <c r="F34" s="849"/>
      <c r="G34" s="849"/>
      <c r="H34" s="756"/>
      <c r="I34" s="775" t="s">
        <v>8</v>
      </c>
      <c r="J34" s="760"/>
      <c r="K34" s="765"/>
      <c r="P34" s="263"/>
    </row>
    <row r="35" spans="1:16" ht="15" customHeight="1">
      <c r="A35" s="272"/>
      <c r="B35" s="1926" t="s">
        <v>35</v>
      </c>
      <c r="C35" s="1927"/>
      <c r="D35" s="1927"/>
      <c r="E35" s="1928"/>
      <c r="F35" s="849"/>
      <c r="G35" s="849"/>
      <c r="H35" s="756"/>
      <c r="I35" s="775" t="s">
        <v>8</v>
      </c>
      <c r="J35" s="760"/>
      <c r="K35" s="765"/>
      <c r="P35" s="263"/>
    </row>
    <row r="36" spans="1:16" s="269" customFormat="1" ht="15" customHeight="1">
      <c r="B36" s="893" t="s">
        <v>36</v>
      </c>
      <c r="C36" s="755"/>
      <c r="D36" s="755"/>
      <c r="E36" s="755"/>
      <c r="F36" s="755"/>
      <c r="G36" s="755"/>
      <c r="H36" s="755"/>
      <c r="I36" s="755"/>
      <c r="J36" s="755"/>
      <c r="K36" s="894"/>
    </row>
    <row r="37" spans="1:16" ht="15" customHeight="1">
      <c r="B37" s="1926" t="s">
        <v>37</v>
      </c>
      <c r="C37" s="1927"/>
      <c r="D37" s="1927"/>
      <c r="E37" s="1928"/>
      <c r="F37" s="849"/>
      <c r="G37" s="849"/>
      <c r="H37" s="756"/>
      <c r="I37" s="775" t="s">
        <v>8</v>
      </c>
      <c r="J37" s="760"/>
      <c r="K37" s="765"/>
      <c r="P37" s="263"/>
    </row>
    <row r="38" spans="1:16" ht="15" customHeight="1">
      <c r="B38" s="1926" t="s">
        <v>38</v>
      </c>
      <c r="C38" s="1927"/>
      <c r="D38" s="1927"/>
      <c r="E38" s="1928"/>
      <c r="F38" s="849"/>
      <c r="G38" s="849"/>
      <c r="H38" s="756"/>
      <c r="I38" s="775" t="s">
        <v>8</v>
      </c>
      <c r="J38" s="760"/>
      <c r="K38" s="765"/>
      <c r="P38" s="263"/>
    </row>
    <row r="39" spans="1:16" ht="15" customHeight="1">
      <c r="B39" s="1926" t="s">
        <v>39</v>
      </c>
      <c r="C39" s="1927"/>
      <c r="D39" s="1927"/>
      <c r="E39" s="1928"/>
      <c r="F39" s="849"/>
      <c r="G39" s="849"/>
      <c r="H39" s="756"/>
      <c r="I39" s="775" t="s">
        <v>8</v>
      </c>
      <c r="J39" s="760"/>
      <c r="K39" s="765"/>
      <c r="P39" s="263"/>
    </row>
    <row r="40" spans="1:16" s="269" customFormat="1" ht="15" customHeight="1" thickBot="1">
      <c r="B40" s="776" t="s">
        <v>40</v>
      </c>
      <c r="C40" s="897"/>
      <c r="D40" s="897"/>
      <c r="E40" s="897"/>
      <c r="F40" s="897"/>
      <c r="G40" s="897"/>
      <c r="H40" s="897"/>
      <c r="I40" s="897"/>
      <c r="J40" s="897"/>
      <c r="K40" s="898"/>
    </row>
    <row r="41" spans="1:16" s="263" customFormat="1" ht="15" customHeight="1">
      <c r="B41" s="264"/>
      <c r="I41" s="265"/>
      <c r="J41" s="265"/>
      <c r="K41" s="265"/>
    </row>
    <row r="42" spans="1:16" s="263" customFormat="1" ht="15" customHeight="1">
      <c r="B42" s="777" t="s">
        <v>8</v>
      </c>
      <c r="C42" s="263" t="str">
        <f>"= sources required for reporting"</f>
        <v>= sources required for reporting</v>
      </c>
      <c r="I42" s="265"/>
      <c r="J42" s="265"/>
      <c r="K42" s="265"/>
    </row>
    <row r="43" spans="1:16" s="263" customFormat="1" ht="15" customHeight="1">
      <c r="B43" s="778" t="s">
        <v>8</v>
      </c>
      <c r="C43" s="263" t="str">
        <f>"= sources required for BASIC reporting"</f>
        <v>= sources required for BASIC reporting</v>
      </c>
      <c r="I43" s="265"/>
      <c r="J43" s="265"/>
      <c r="K43" s="265"/>
    </row>
    <row r="44" spans="1:16" s="263" customFormat="1" ht="15" customHeight="1">
      <c r="B44" s="757" t="s">
        <v>8</v>
      </c>
      <c r="C44" s="263" t="str">
        <f>" +"</f>
        <v xml:space="preserve"> +</v>
      </c>
      <c r="D44" s="775" t="s">
        <v>8</v>
      </c>
      <c r="E44" s="263" t="str">
        <f>"= sources required for BASIC+ reporting"</f>
        <v>= sources required for BASIC+ reporting</v>
      </c>
      <c r="I44" s="265"/>
      <c r="J44" s="265"/>
      <c r="K44" s="265"/>
    </row>
    <row r="45" spans="1:16" s="263" customFormat="1" ht="15" customHeight="1">
      <c r="B45" s="772" t="s">
        <v>8</v>
      </c>
      <c r="C45" s="263" t="str">
        <f>"= additional scope 1 sources required for territorial reporting"</f>
        <v>= additional scope 1 sources required for territorial reporting</v>
      </c>
      <c r="I45" s="265"/>
      <c r="J45" s="265"/>
      <c r="K45" s="265"/>
    </row>
    <row r="46" spans="1:16" s="263" customFormat="1" ht="15" customHeight="1">
      <c r="B46" s="779"/>
      <c r="C46" s="263" t="str">
        <f>"= other scope 3 sources"</f>
        <v>= other scope 3 sources</v>
      </c>
      <c r="I46" s="265"/>
      <c r="J46" s="265"/>
      <c r="K46" s="265"/>
    </row>
    <row r="47" spans="1:16" s="263" customFormat="1" ht="15" customHeight="1">
      <c r="B47" s="762"/>
      <c r="C47" s="263" t="str">
        <f>"= non-applicable emission sources"</f>
        <v>= non-applicable emission sources</v>
      </c>
      <c r="I47" s="265"/>
      <c r="J47" s="265"/>
      <c r="K47" s="265"/>
    </row>
    <row r="48" spans="1:16" s="263" customFormat="1" ht="15" customHeight="1">
      <c r="B48" s="264"/>
      <c r="I48" s="265"/>
      <c r="J48" s="265"/>
      <c r="K48" s="265"/>
    </row>
    <row r="49" spans="2:24" s="263" customFormat="1" ht="15" customHeight="1">
      <c r="B49" s="266" t="s">
        <v>41</v>
      </c>
      <c r="I49" s="265"/>
      <c r="J49" s="265"/>
      <c r="K49" s="265"/>
      <c r="O49" s="275"/>
      <c r="P49" s="275"/>
      <c r="Q49" s="275"/>
    </row>
    <row r="50" spans="2:24" ht="15" customHeight="1" thickBot="1">
      <c r="B50" s="266"/>
      <c r="C50" s="263"/>
      <c r="D50" s="263"/>
      <c r="E50" s="263"/>
      <c r="F50" s="263"/>
      <c r="G50" s="263"/>
      <c r="H50" s="263"/>
      <c r="I50" s="265"/>
      <c r="J50" s="265"/>
      <c r="K50" s="265"/>
      <c r="O50" s="265"/>
      <c r="P50" s="265"/>
      <c r="Q50" s="265"/>
    </row>
    <row r="51" spans="2:24" ht="15" customHeight="1">
      <c r="B51" s="1946" t="s">
        <v>42</v>
      </c>
      <c r="C51" s="1947"/>
      <c r="D51" s="1948"/>
      <c r="E51" s="1952" t="s">
        <v>43</v>
      </c>
      <c r="F51" s="1947"/>
      <c r="G51" s="1947"/>
      <c r="H51" s="1947"/>
      <c r="I51" s="1947"/>
      <c r="J51" s="1947"/>
      <c r="K51" s="1953"/>
      <c r="L51" s="268"/>
      <c r="M51" s="266"/>
      <c r="N51" s="266"/>
      <c r="P51" s="263"/>
      <c r="R51" s="266"/>
      <c r="S51" s="275"/>
      <c r="T51" s="275"/>
      <c r="U51" s="275"/>
      <c r="V51" s="266"/>
      <c r="W51" s="266"/>
    </row>
    <row r="52" spans="2:24" ht="15" customHeight="1" thickBot="1">
      <c r="B52" s="1949"/>
      <c r="C52" s="1950"/>
      <c r="D52" s="1951"/>
      <c r="E52" s="1954"/>
      <c r="F52" s="1950"/>
      <c r="G52" s="1950"/>
      <c r="H52" s="1950"/>
      <c r="I52" s="1950"/>
      <c r="J52" s="1950"/>
      <c r="K52" s="1955"/>
      <c r="P52" s="263"/>
      <c r="S52" s="265"/>
      <c r="T52" s="265"/>
      <c r="U52" s="265"/>
    </row>
    <row r="53" spans="2:24" ht="15" customHeight="1" thickBot="1">
      <c r="B53" s="287"/>
      <c r="C53" s="288"/>
      <c r="D53" s="288"/>
      <c r="E53" s="1956"/>
      <c r="F53" s="1956"/>
      <c r="G53" s="1956"/>
      <c r="H53" s="1956"/>
      <c r="I53" s="1956"/>
      <c r="J53" s="1956"/>
      <c r="K53" s="1957"/>
      <c r="P53" s="263"/>
    </row>
    <row r="54" spans="2:24" ht="15" customHeight="1">
      <c r="B54" s="1917" t="s">
        <v>44</v>
      </c>
      <c r="C54" s="1918"/>
      <c r="D54" s="1921" t="s">
        <v>45</v>
      </c>
      <c r="E54" s="1958" t="s">
        <v>46</v>
      </c>
      <c r="F54" s="1959"/>
      <c r="G54" s="1959"/>
      <c r="H54" s="1959"/>
      <c r="I54" s="1959"/>
      <c r="J54" s="1959"/>
      <c r="K54" s="1960"/>
      <c r="P54" s="263"/>
    </row>
    <row r="55" spans="2:24" ht="15" customHeight="1">
      <c r="B55" s="1919"/>
      <c r="C55" s="1920"/>
      <c r="D55" s="1906"/>
      <c r="E55" s="1961"/>
      <c r="F55" s="1962"/>
      <c r="G55" s="1962"/>
      <c r="H55" s="1962"/>
      <c r="I55" s="1962"/>
      <c r="J55" s="1962"/>
      <c r="K55" s="1963"/>
      <c r="P55" s="263"/>
    </row>
    <row r="56" spans="2:24" ht="15" customHeight="1">
      <c r="B56" s="276"/>
      <c r="C56" s="285"/>
      <c r="D56" s="1905" t="s">
        <v>47</v>
      </c>
      <c r="E56" s="1961" t="s">
        <v>48</v>
      </c>
      <c r="F56" s="1962"/>
      <c r="G56" s="1962"/>
      <c r="H56" s="1962"/>
      <c r="I56" s="1962"/>
      <c r="J56" s="1962"/>
      <c r="K56" s="1963"/>
      <c r="P56" s="263"/>
    </row>
    <row r="57" spans="2:24" ht="15" customHeight="1">
      <c r="B57" s="276"/>
      <c r="C57" s="285"/>
      <c r="D57" s="1906"/>
      <c r="E57" s="1961"/>
      <c r="F57" s="1962"/>
      <c r="G57" s="1962"/>
      <c r="H57" s="1962"/>
      <c r="I57" s="1962"/>
      <c r="J57" s="1962"/>
      <c r="K57" s="1963"/>
      <c r="P57" s="263"/>
    </row>
    <row r="58" spans="2:24" ht="15" customHeight="1">
      <c r="B58" s="276"/>
      <c r="C58" s="285"/>
      <c r="D58" s="1906"/>
      <c r="E58" s="1908" t="s">
        <v>49</v>
      </c>
      <c r="F58" s="1909"/>
      <c r="G58" s="1909"/>
      <c r="H58" s="1909"/>
      <c r="I58" s="1909"/>
      <c r="J58" s="1909"/>
      <c r="K58" s="1910"/>
      <c r="P58" s="263"/>
    </row>
    <row r="59" spans="2:24" ht="15" customHeight="1">
      <c r="B59" s="277"/>
      <c r="C59" s="263"/>
      <c r="D59" s="1914"/>
      <c r="E59" s="1908"/>
      <c r="F59" s="1909"/>
      <c r="G59" s="1909"/>
      <c r="H59" s="1909"/>
      <c r="I59" s="1909"/>
      <c r="J59" s="1909"/>
      <c r="K59" s="1910"/>
      <c r="P59" s="263"/>
    </row>
    <row r="60" spans="2:24" ht="15" customHeight="1">
      <c r="B60" s="1944" t="s">
        <v>50</v>
      </c>
      <c r="C60" s="1945"/>
      <c r="D60" s="1905" t="s">
        <v>51</v>
      </c>
      <c r="E60" s="1908" t="s">
        <v>52</v>
      </c>
      <c r="F60" s="1909"/>
      <c r="G60" s="1909"/>
      <c r="H60" s="1909"/>
      <c r="I60" s="1909"/>
      <c r="J60" s="1909"/>
      <c r="K60" s="1910"/>
      <c r="P60" s="263"/>
      <c r="U60" s="265"/>
    </row>
    <row r="61" spans="2:24" ht="15" customHeight="1">
      <c r="B61" s="1919"/>
      <c r="C61" s="1920"/>
      <c r="D61" s="1906"/>
      <c r="E61" s="1908"/>
      <c r="F61" s="1909"/>
      <c r="G61" s="1909"/>
      <c r="H61" s="1909"/>
      <c r="I61" s="1909"/>
      <c r="J61" s="1909"/>
      <c r="K61" s="1910"/>
      <c r="P61" s="263"/>
    </row>
    <row r="62" spans="2:24" ht="15" customHeight="1">
      <c r="B62" s="278"/>
      <c r="C62" s="279"/>
      <c r="D62" s="1905" t="s">
        <v>47</v>
      </c>
      <c r="E62" s="1908" t="s">
        <v>53</v>
      </c>
      <c r="F62" s="1909"/>
      <c r="G62" s="1909"/>
      <c r="H62" s="1909"/>
      <c r="I62" s="1909"/>
      <c r="J62" s="1909"/>
      <c r="K62" s="1910"/>
      <c r="O62" s="275"/>
      <c r="P62" s="275"/>
      <c r="Q62" s="275"/>
    </row>
    <row r="63" spans="2:24" ht="15" customHeight="1">
      <c r="B63" s="277"/>
      <c r="C63" s="263"/>
      <c r="D63" s="1906"/>
      <c r="E63" s="1908"/>
      <c r="F63" s="1909"/>
      <c r="G63" s="1909"/>
      <c r="H63" s="1909"/>
      <c r="I63" s="1909"/>
      <c r="J63" s="1909"/>
      <c r="K63" s="1910"/>
      <c r="O63" s="265"/>
      <c r="P63" s="265"/>
      <c r="Q63" s="265"/>
    </row>
    <row r="64" spans="2:24" ht="15" customHeight="1">
      <c r="B64" s="277"/>
      <c r="C64" s="263"/>
      <c r="D64" s="1906"/>
      <c r="E64" s="1908" t="s">
        <v>54</v>
      </c>
      <c r="F64" s="1909"/>
      <c r="G64" s="1909"/>
      <c r="H64" s="1909"/>
      <c r="I64" s="1909"/>
      <c r="J64" s="1909"/>
      <c r="K64" s="1910"/>
      <c r="P64" s="263"/>
      <c r="U64" s="279"/>
      <c r="V64" s="280"/>
      <c r="W64" s="280"/>
      <c r="X64" s="280"/>
    </row>
    <row r="65" spans="2:24" ht="15" customHeight="1">
      <c r="B65" s="277"/>
      <c r="C65" s="263"/>
      <c r="D65" s="1914"/>
      <c r="E65" s="1908"/>
      <c r="F65" s="1909"/>
      <c r="G65" s="1909"/>
      <c r="H65" s="1909"/>
      <c r="I65" s="1909"/>
      <c r="J65" s="1909"/>
      <c r="K65" s="1910"/>
      <c r="P65" s="263"/>
    </row>
    <row r="66" spans="2:24" ht="15" customHeight="1">
      <c r="B66" s="1922" t="s">
        <v>55</v>
      </c>
      <c r="C66" s="1923"/>
      <c r="D66" s="1915" t="s">
        <v>56</v>
      </c>
      <c r="E66" s="1908" t="s">
        <v>57</v>
      </c>
      <c r="F66" s="1909"/>
      <c r="G66" s="1909"/>
      <c r="H66" s="1909"/>
      <c r="I66" s="1909"/>
      <c r="J66" s="1909"/>
      <c r="K66" s="1910"/>
      <c r="P66" s="263"/>
      <c r="U66" s="265"/>
    </row>
    <row r="67" spans="2:24" ht="15" customHeight="1">
      <c r="B67" s="1924"/>
      <c r="C67" s="1925"/>
      <c r="D67" s="1916"/>
      <c r="E67" s="1908"/>
      <c r="F67" s="1909"/>
      <c r="G67" s="1909"/>
      <c r="H67" s="1909"/>
      <c r="I67" s="1909"/>
      <c r="J67" s="1909"/>
      <c r="K67" s="1910"/>
      <c r="P67" s="263"/>
      <c r="U67" s="265"/>
    </row>
    <row r="68" spans="2:24" ht="15" customHeight="1">
      <c r="B68" s="277"/>
      <c r="C68" s="263"/>
      <c r="D68" s="1905" t="s">
        <v>47</v>
      </c>
      <c r="E68" s="1908" t="s">
        <v>58</v>
      </c>
      <c r="F68" s="1909"/>
      <c r="G68" s="1909"/>
      <c r="H68" s="1909"/>
      <c r="I68" s="1909"/>
      <c r="J68" s="1909"/>
      <c r="K68" s="1910"/>
      <c r="P68" s="263"/>
      <c r="U68" s="279"/>
      <c r="V68" s="280"/>
      <c r="W68" s="280"/>
      <c r="X68" s="280"/>
    </row>
    <row r="69" spans="2:24" ht="15" customHeight="1">
      <c r="B69" s="277"/>
      <c r="C69" s="263"/>
      <c r="D69" s="1906"/>
      <c r="E69" s="1908"/>
      <c r="F69" s="1909"/>
      <c r="G69" s="1909"/>
      <c r="H69" s="1909"/>
      <c r="I69" s="1909"/>
      <c r="J69" s="1909"/>
      <c r="K69" s="1910"/>
      <c r="P69" s="263"/>
    </row>
    <row r="70" spans="2:24" ht="15" customHeight="1">
      <c r="B70" s="277"/>
      <c r="C70" s="263"/>
      <c r="D70" s="1906"/>
      <c r="E70" s="1908" t="s">
        <v>59</v>
      </c>
      <c r="F70" s="1909"/>
      <c r="G70" s="1909"/>
      <c r="H70" s="1909"/>
      <c r="I70" s="1909"/>
      <c r="J70" s="1909"/>
      <c r="K70" s="1910"/>
      <c r="P70" s="263"/>
    </row>
    <row r="71" spans="2:24" ht="15" customHeight="1">
      <c r="B71" s="277"/>
      <c r="C71" s="263"/>
      <c r="D71" s="1914"/>
      <c r="E71" s="1908"/>
      <c r="F71" s="1909"/>
      <c r="G71" s="1909"/>
      <c r="H71" s="1909"/>
      <c r="I71" s="1909"/>
      <c r="J71" s="1909"/>
      <c r="K71" s="1910"/>
      <c r="P71" s="263"/>
    </row>
    <row r="72" spans="2:24" ht="15" customHeight="1">
      <c r="B72" s="1922" t="s">
        <v>60</v>
      </c>
      <c r="C72" s="1923"/>
      <c r="D72" s="1915" t="s">
        <v>61</v>
      </c>
      <c r="E72" s="1908" t="s">
        <v>62</v>
      </c>
      <c r="F72" s="1909"/>
      <c r="G72" s="1909"/>
      <c r="H72" s="1909"/>
      <c r="I72" s="1909"/>
      <c r="J72" s="1909"/>
      <c r="K72" s="1910"/>
      <c r="P72" s="263"/>
    </row>
    <row r="73" spans="2:24" ht="15" customHeight="1">
      <c r="B73" s="1924"/>
      <c r="C73" s="1925"/>
      <c r="D73" s="1916"/>
      <c r="E73" s="1908"/>
      <c r="F73" s="1909"/>
      <c r="G73" s="1909"/>
      <c r="H73" s="1909"/>
      <c r="I73" s="1909"/>
      <c r="J73" s="1909"/>
      <c r="K73" s="1910"/>
      <c r="P73" s="263"/>
    </row>
    <row r="74" spans="2:24" ht="15" customHeight="1">
      <c r="B74" s="277"/>
      <c r="C74" s="263"/>
      <c r="D74" s="1905" t="s">
        <v>47</v>
      </c>
      <c r="E74" s="1908" t="s">
        <v>63</v>
      </c>
      <c r="F74" s="1909"/>
      <c r="G74" s="1909"/>
      <c r="H74" s="1909"/>
      <c r="I74" s="1909"/>
      <c r="J74" s="1909"/>
      <c r="K74" s="1910"/>
      <c r="P74" s="263"/>
    </row>
    <row r="75" spans="2:24" ht="15" customHeight="1">
      <c r="B75" s="277"/>
      <c r="C75" s="263"/>
      <c r="D75" s="1906"/>
      <c r="E75" s="1908"/>
      <c r="F75" s="1909"/>
      <c r="G75" s="1909"/>
      <c r="H75" s="1909"/>
      <c r="I75" s="1909"/>
      <c r="J75" s="1909"/>
      <c r="K75" s="1910"/>
      <c r="O75" s="275"/>
      <c r="P75" s="275"/>
      <c r="Q75" s="275"/>
    </row>
    <row r="76" spans="2:24" ht="15" customHeight="1">
      <c r="B76" s="278"/>
      <c r="C76" s="279"/>
      <c r="D76" s="1906"/>
      <c r="E76" s="1908" t="s">
        <v>64</v>
      </c>
      <c r="F76" s="1909"/>
      <c r="G76" s="1909"/>
      <c r="H76" s="1909"/>
      <c r="I76" s="1909"/>
      <c r="J76" s="1909"/>
      <c r="K76" s="1910"/>
      <c r="O76" s="265"/>
      <c r="P76" s="265"/>
      <c r="Q76" s="265"/>
    </row>
    <row r="77" spans="2:24" ht="15" customHeight="1" thickBot="1">
      <c r="B77" s="899"/>
      <c r="C77" s="281"/>
      <c r="D77" s="1907"/>
      <c r="E77" s="1911"/>
      <c r="F77" s="1912"/>
      <c r="G77" s="1912"/>
      <c r="H77" s="1912"/>
      <c r="I77" s="1912"/>
      <c r="J77" s="1912"/>
      <c r="K77" s="1913"/>
      <c r="P77" s="263"/>
    </row>
    <row r="78" spans="2:24" ht="15" customHeight="1">
      <c r="B78" s="263"/>
      <c r="C78" s="263"/>
      <c r="D78" s="286"/>
      <c r="E78" s="848"/>
      <c r="F78" s="848"/>
      <c r="G78" s="848"/>
      <c r="H78" s="848"/>
      <c r="I78" s="848"/>
      <c r="J78" s="848"/>
      <c r="K78" s="848"/>
      <c r="P78" s="263"/>
    </row>
    <row r="79" spans="2:24" s="263" customFormat="1" ht="15" customHeight="1">
      <c r="B79" s="266" t="s">
        <v>65</v>
      </c>
      <c r="I79" s="265"/>
      <c r="J79" s="265"/>
      <c r="K79" s="265"/>
    </row>
    <row r="80" spans="2:24" s="263" customFormat="1" ht="15" customHeight="1" outlineLevel="1" thickBot="1">
      <c r="B80" s="264"/>
      <c r="I80" s="265"/>
      <c r="J80" s="265"/>
      <c r="K80" s="265"/>
    </row>
    <row r="81" spans="2:13" s="263" customFormat="1" ht="15" customHeight="1" outlineLevel="1">
      <c r="B81" s="1897" t="s">
        <v>66</v>
      </c>
      <c r="C81" s="1898"/>
      <c r="D81" s="1898"/>
      <c r="E81" s="1899"/>
      <c r="F81" s="1900" t="s">
        <v>67</v>
      </c>
      <c r="G81" s="1898"/>
      <c r="H81" s="1898"/>
      <c r="I81" s="1901"/>
      <c r="J81" s="1859"/>
      <c r="K81" s="1859"/>
      <c r="L81" s="1860"/>
      <c r="M81" s="1860"/>
    </row>
    <row r="82" spans="2:13" s="263" customFormat="1" ht="15" customHeight="1" outlineLevel="1" thickBot="1">
      <c r="B82" s="1902" t="s">
        <v>68</v>
      </c>
      <c r="C82" s="1903"/>
      <c r="D82" s="1904" t="s">
        <v>69</v>
      </c>
      <c r="E82" s="1903"/>
      <c r="F82" s="1856" t="s">
        <v>70</v>
      </c>
      <c r="G82" s="900" t="s">
        <v>71</v>
      </c>
      <c r="H82" s="900" t="s">
        <v>72</v>
      </c>
      <c r="I82" s="901" t="s">
        <v>73</v>
      </c>
      <c r="J82" s="1860"/>
      <c r="K82" s="1860"/>
      <c r="L82" s="1861"/>
      <c r="M82" s="1860"/>
    </row>
    <row r="83" spans="2:13" s="263" customFormat="1" ht="15" customHeight="1" outlineLevel="1">
      <c r="B83" s="282"/>
      <c r="C83" s="1150"/>
      <c r="D83" s="1150"/>
      <c r="E83" s="1150"/>
      <c r="F83" s="1857"/>
      <c r="G83" s="1150"/>
      <c r="H83" s="1150"/>
      <c r="I83" s="1151"/>
      <c r="J83" s="1860"/>
      <c r="K83" s="1860"/>
      <c r="L83" s="1860"/>
      <c r="M83" s="1860"/>
    </row>
    <row r="84" spans="2:13" s="263" customFormat="1" ht="15" customHeight="1" outlineLevel="1">
      <c r="B84" s="1889" t="s">
        <v>74</v>
      </c>
      <c r="C84" s="1890"/>
      <c r="D84" s="1896" t="s">
        <v>75</v>
      </c>
      <c r="E84" s="1896"/>
      <c r="F84" s="1858">
        <v>1</v>
      </c>
      <c r="G84" s="1411">
        <v>1</v>
      </c>
      <c r="H84" s="1411">
        <v>1</v>
      </c>
      <c r="I84" s="1621">
        <v>1</v>
      </c>
      <c r="J84" s="1860"/>
      <c r="K84" s="1860"/>
      <c r="L84" s="1860"/>
      <c r="M84" s="1860"/>
    </row>
    <row r="85" spans="2:13" s="263" customFormat="1" ht="15" customHeight="1" outlineLevel="1">
      <c r="B85" s="1889" t="s">
        <v>76</v>
      </c>
      <c r="C85" s="1890"/>
      <c r="D85" s="1896" t="s">
        <v>77</v>
      </c>
      <c r="E85" s="1896"/>
      <c r="F85" s="1858">
        <v>28</v>
      </c>
      <c r="G85" s="1411">
        <v>25</v>
      </c>
      <c r="H85" s="1411">
        <v>23</v>
      </c>
      <c r="I85" s="1621">
        <v>21</v>
      </c>
      <c r="J85" s="1860"/>
      <c r="K85" s="1860"/>
      <c r="L85" s="1860"/>
      <c r="M85" s="1860"/>
    </row>
    <row r="86" spans="2:13" s="263" customFormat="1" ht="15" customHeight="1" outlineLevel="1">
      <c r="B86" s="1889" t="s">
        <v>2429</v>
      </c>
      <c r="C86" s="1890"/>
      <c r="D86" s="1896" t="s">
        <v>77</v>
      </c>
      <c r="E86" s="1896"/>
      <c r="F86" s="1858">
        <v>30</v>
      </c>
      <c r="G86" s="1411"/>
      <c r="H86" s="1411"/>
      <c r="I86" s="1855"/>
      <c r="J86" s="1862"/>
      <c r="K86" s="1863"/>
      <c r="L86" s="1864"/>
      <c r="M86" s="1860"/>
    </row>
    <row r="87" spans="2:13" s="263" customFormat="1" ht="15" customHeight="1" outlineLevel="1">
      <c r="B87" s="1889" t="s">
        <v>78</v>
      </c>
      <c r="C87" s="1890"/>
      <c r="D87" s="1896" t="s">
        <v>79</v>
      </c>
      <c r="E87" s="1896"/>
      <c r="F87" s="1858">
        <v>265</v>
      </c>
      <c r="G87" s="1411">
        <v>298</v>
      </c>
      <c r="H87" s="1411">
        <v>296</v>
      </c>
      <c r="I87" s="1621">
        <v>310</v>
      </c>
      <c r="J87" s="1860"/>
      <c r="K87" s="1860"/>
      <c r="L87" s="1860"/>
      <c r="M87" s="1860"/>
    </row>
    <row r="88" spans="2:13" s="263" customFormat="1" ht="15" customHeight="1" outlineLevel="1">
      <c r="B88" s="1889" t="s">
        <v>80</v>
      </c>
      <c r="C88" s="1890"/>
      <c r="D88" s="1896" t="s">
        <v>81</v>
      </c>
      <c r="E88" s="1896"/>
      <c r="F88" s="780">
        <v>23500</v>
      </c>
      <c r="G88" s="1411">
        <v>22800</v>
      </c>
      <c r="H88" s="1411">
        <v>22200</v>
      </c>
      <c r="I88" s="1621">
        <v>23900</v>
      </c>
      <c r="J88" s="1860"/>
      <c r="K88" s="1860"/>
      <c r="L88" s="1860"/>
      <c r="M88" s="1860"/>
    </row>
    <row r="89" spans="2:13" s="263" customFormat="1" ht="15" customHeight="1" outlineLevel="1">
      <c r="B89" s="1889" t="s">
        <v>82</v>
      </c>
      <c r="C89" s="1890"/>
      <c r="D89" s="263" t="s">
        <v>83</v>
      </c>
      <c r="F89" s="1411">
        <v>6630</v>
      </c>
      <c r="G89" s="1411">
        <v>7390</v>
      </c>
      <c r="H89" s="1411">
        <v>5700</v>
      </c>
      <c r="I89" s="1622">
        <v>6500</v>
      </c>
    </row>
    <row r="90" spans="2:13" s="263" customFormat="1" ht="15" customHeight="1" outlineLevel="1">
      <c r="B90" s="1889" t="s">
        <v>84</v>
      </c>
      <c r="C90" s="1890"/>
      <c r="D90" s="783" t="s">
        <v>85</v>
      </c>
      <c r="E90" s="784"/>
      <c r="F90" s="781">
        <v>11100</v>
      </c>
      <c r="G90" s="781">
        <v>12200</v>
      </c>
      <c r="H90" s="781">
        <v>11900</v>
      </c>
      <c r="I90" s="782">
        <v>9200</v>
      </c>
    </row>
    <row r="91" spans="2:13" s="263" customFormat="1" ht="15" customHeight="1" outlineLevel="1">
      <c r="B91" s="1894" t="s">
        <v>86</v>
      </c>
      <c r="C91" s="1895"/>
      <c r="D91" s="263" t="s">
        <v>87</v>
      </c>
      <c r="F91" s="781">
        <v>12400</v>
      </c>
      <c r="G91" s="781">
        <v>14800</v>
      </c>
      <c r="H91" s="781">
        <v>12000</v>
      </c>
      <c r="I91" s="782">
        <v>11700</v>
      </c>
    </row>
    <row r="92" spans="2:13" s="263" customFormat="1" ht="15" customHeight="1" outlineLevel="1">
      <c r="B92" s="1894" t="s">
        <v>88</v>
      </c>
      <c r="C92" s="1895"/>
      <c r="D92" s="783" t="s">
        <v>89</v>
      </c>
      <c r="E92" s="784"/>
      <c r="F92" s="781">
        <v>677</v>
      </c>
      <c r="G92" s="781">
        <v>675</v>
      </c>
      <c r="H92" s="781">
        <v>550</v>
      </c>
      <c r="I92" s="782">
        <v>650</v>
      </c>
    </row>
    <row r="93" spans="2:13" s="263" customFormat="1" ht="15" customHeight="1" outlineLevel="1">
      <c r="B93" s="1889" t="s">
        <v>90</v>
      </c>
      <c r="C93" s="1890"/>
      <c r="D93" s="263" t="s">
        <v>91</v>
      </c>
      <c r="F93" s="781">
        <v>116</v>
      </c>
      <c r="G93" s="781">
        <v>92</v>
      </c>
      <c r="H93" s="781">
        <v>97</v>
      </c>
      <c r="I93" s="782">
        <v>150</v>
      </c>
    </row>
    <row r="94" spans="2:13" s="263" customFormat="1" ht="15" customHeight="1" outlineLevel="1">
      <c r="B94" s="1894" t="s">
        <v>92</v>
      </c>
      <c r="C94" s="1895"/>
      <c r="D94" s="783" t="s">
        <v>93</v>
      </c>
      <c r="E94" s="784"/>
      <c r="F94" s="781">
        <v>3170</v>
      </c>
      <c r="G94" s="781">
        <v>3500</v>
      </c>
      <c r="H94" s="781">
        <v>3400</v>
      </c>
      <c r="I94" s="782">
        <v>2800</v>
      </c>
    </row>
    <row r="95" spans="2:13" s="263" customFormat="1" ht="15" customHeight="1" outlineLevel="1">
      <c r="B95" s="1894" t="s">
        <v>94</v>
      </c>
      <c r="C95" s="1895"/>
      <c r="D95" s="263" t="s">
        <v>95</v>
      </c>
      <c r="F95" s="781">
        <v>1120</v>
      </c>
      <c r="G95" s="781">
        <v>1100</v>
      </c>
      <c r="H95" s="781">
        <v>1100</v>
      </c>
      <c r="I95" s="782">
        <v>1000</v>
      </c>
    </row>
    <row r="96" spans="2:13" s="263" customFormat="1" ht="15" customHeight="1" outlineLevel="1">
      <c r="B96" s="1894" t="s">
        <v>96</v>
      </c>
      <c r="C96" s="1895"/>
      <c r="D96" s="783" t="s">
        <v>97</v>
      </c>
      <c r="E96" s="784"/>
      <c r="F96" s="781">
        <v>1300</v>
      </c>
      <c r="G96" s="781">
        <v>1430</v>
      </c>
      <c r="H96" s="781">
        <v>1300</v>
      </c>
      <c r="I96" s="782">
        <v>1300</v>
      </c>
    </row>
    <row r="97" spans="2:16" s="263" customFormat="1" ht="15" customHeight="1" outlineLevel="1">
      <c r="B97" s="1894" t="s">
        <v>98</v>
      </c>
      <c r="C97" s="1895"/>
      <c r="D97" s="263" t="s">
        <v>99</v>
      </c>
      <c r="F97" s="781">
        <v>328</v>
      </c>
      <c r="G97" s="781">
        <v>353</v>
      </c>
      <c r="H97" s="781">
        <v>330</v>
      </c>
      <c r="I97" s="782">
        <v>300</v>
      </c>
    </row>
    <row r="98" spans="2:16" s="263" customFormat="1" ht="15" customHeight="1" outlineLevel="1">
      <c r="B98" s="1894" t="s">
        <v>100</v>
      </c>
      <c r="C98" s="1895"/>
      <c r="D98" s="783" t="s">
        <v>101</v>
      </c>
      <c r="E98" s="784"/>
      <c r="F98" s="781">
        <v>4800</v>
      </c>
      <c r="G98" s="781">
        <v>4470</v>
      </c>
      <c r="H98" s="781">
        <v>4300</v>
      </c>
      <c r="I98" s="782">
        <v>3800</v>
      </c>
    </row>
    <row r="99" spans="2:16" s="263" customFormat="1" ht="15" customHeight="1" outlineLevel="1">
      <c r="B99" s="1894" t="s">
        <v>102</v>
      </c>
      <c r="C99" s="1895"/>
      <c r="D99" s="263" t="s">
        <v>103</v>
      </c>
      <c r="F99" s="781">
        <v>138</v>
      </c>
      <c r="G99" s="781">
        <v>124</v>
      </c>
      <c r="H99" s="781">
        <v>120</v>
      </c>
      <c r="I99" s="782">
        <v>140</v>
      </c>
    </row>
    <row r="100" spans="2:16" s="263" customFormat="1" ht="15" customHeight="1" outlineLevel="1">
      <c r="B100" s="1894" t="s">
        <v>104</v>
      </c>
      <c r="C100" s="1895"/>
      <c r="D100" s="783" t="s">
        <v>105</v>
      </c>
      <c r="E100" s="784"/>
      <c r="F100" s="781">
        <v>3350</v>
      </c>
      <c r="G100" s="781">
        <v>3220</v>
      </c>
      <c r="H100" s="781">
        <v>3500</v>
      </c>
      <c r="I100" s="782">
        <v>2900</v>
      </c>
    </row>
    <row r="101" spans="2:16" s="263" customFormat="1" ht="15" customHeight="1" outlineLevel="1">
      <c r="B101" s="1889" t="s">
        <v>106</v>
      </c>
      <c r="C101" s="1890"/>
      <c r="D101" s="263" t="s">
        <v>107</v>
      </c>
      <c r="F101" s="781">
        <v>8060</v>
      </c>
      <c r="G101" s="781">
        <v>9810</v>
      </c>
      <c r="H101" s="781">
        <v>9400</v>
      </c>
      <c r="I101" s="782">
        <v>6300</v>
      </c>
    </row>
    <row r="102" spans="2:16" s="263" customFormat="1" ht="15" customHeight="1" outlineLevel="1">
      <c r="B102" s="1889" t="s">
        <v>108</v>
      </c>
      <c r="C102" s="1890"/>
      <c r="D102" s="783" t="s">
        <v>109</v>
      </c>
      <c r="E102" s="784"/>
      <c r="F102" s="781">
        <v>716</v>
      </c>
      <c r="G102" s="781">
        <v>1030</v>
      </c>
      <c r="H102" s="781">
        <v>950</v>
      </c>
      <c r="I102" s="782">
        <v>560</v>
      </c>
    </row>
    <row r="103" spans="2:16" s="263" customFormat="1" ht="15" customHeight="1" outlineLevel="1" thickBot="1">
      <c r="B103" s="1891" t="s">
        <v>110</v>
      </c>
      <c r="C103" s="1892"/>
      <c r="D103" s="1893" t="s">
        <v>111</v>
      </c>
      <c r="E103" s="1893"/>
      <c r="F103" s="902">
        <v>16100</v>
      </c>
      <c r="G103" s="902">
        <v>17200</v>
      </c>
      <c r="H103" s="902"/>
      <c r="I103" s="903"/>
    </row>
    <row r="104" spans="2:16" s="263" customFormat="1" ht="15" customHeight="1" outlineLevel="1">
      <c r="B104" s="264"/>
      <c r="I104" s="265"/>
      <c r="J104" s="265"/>
    </row>
    <row r="105" spans="2:16" s="263" customFormat="1" ht="15" customHeight="1" outlineLevel="1">
      <c r="B105" s="263" t="s">
        <v>112</v>
      </c>
      <c r="I105" s="265"/>
      <c r="J105" s="265"/>
    </row>
    <row r="106" spans="2:16" s="263" customFormat="1">
      <c r="B106" s="264"/>
      <c r="I106" s="265"/>
      <c r="J106" s="265"/>
      <c r="K106" s="265"/>
    </row>
    <row r="107" spans="2:16">
      <c r="B107" s="264"/>
      <c r="C107" s="263"/>
      <c r="D107" s="263"/>
      <c r="E107" s="263"/>
      <c r="F107" s="263"/>
      <c r="G107" s="263"/>
      <c r="H107" s="263"/>
      <c r="I107" s="265"/>
      <c r="J107" s="265"/>
      <c r="K107" s="265"/>
      <c r="P107" s="263"/>
    </row>
    <row r="108" spans="2:16" s="263" customFormat="1">
      <c r="B108" s="264"/>
      <c r="I108" s="265"/>
      <c r="J108" s="265"/>
      <c r="K108" s="265"/>
    </row>
    <row r="109" spans="2:16" s="263" customFormat="1">
      <c r="B109" s="264"/>
      <c r="I109" s="265"/>
      <c r="J109" s="265"/>
      <c r="K109" s="265"/>
    </row>
    <row r="110" spans="2:16" s="263" customFormat="1">
      <c r="B110" s="264"/>
      <c r="I110" s="265"/>
      <c r="J110" s="265"/>
      <c r="K110" s="265"/>
    </row>
    <row r="111" spans="2:16" s="263" customFormat="1">
      <c r="B111" s="264"/>
      <c r="I111" s="265"/>
      <c r="J111" s="265"/>
      <c r="K111" s="265"/>
    </row>
    <row r="112" spans="2:16" s="263" customFormat="1">
      <c r="B112" s="264"/>
      <c r="I112" s="265"/>
      <c r="J112" s="265"/>
      <c r="K112" s="265"/>
    </row>
    <row r="113" spans="2:11" s="263" customFormat="1">
      <c r="B113" s="264"/>
      <c r="I113" s="265"/>
      <c r="J113" s="265"/>
      <c r="K113" s="265"/>
    </row>
    <row r="114" spans="2:11" s="263" customFormat="1">
      <c r="B114" s="264"/>
      <c r="I114" s="265"/>
      <c r="J114" s="265"/>
      <c r="K114" s="265"/>
    </row>
    <row r="115" spans="2:11" s="263" customFormat="1">
      <c r="B115" s="264"/>
      <c r="I115" s="265"/>
      <c r="J115" s="265"/>
      <c r="K115" s="265"/>
    </row>
    <row r="116" spans="2:11" s="263" customFormat="1">
      <c r="B116" s="264"/>
      <c r="I116" s="265"/>
      <c r="J116" s="265"/>
      <c r="K116" s="265"/>
    </row>
    <row r="117" spans="2:11" s="263" customFormat="1">
      <c r="B117" s="264"/>
      <c r="I117" s="265"/>
      <c r="J117" s="265"/>
      <c r="K117" s="265"/>
    </row>
    <row r="118" spans="2:11" s="263" customFormat="1">
      <c r="B118" s="264"/>
      <c r="I118" s="265"/>
      <c r="J118" s="265"/>
      <c r="K118" s="265"/>
    </row>
    <row r="119" spans="2:11" s="263" customFormat="1">
      <c r="B119" s="264"/>
      <c r="I119" s="265"/>
      <c r="J119" s="265"/>
      <c r="K119" s="265"/>
    </row>
    <row r="120" spans="2:11" s="263" customFormat="1">
      <c r="B120" s="264"/>
      <c r="I120" s="265"/>
      <c r="J120" s="265"/>
      <c r="K120" s="265"/>
    </row>
    <row r="121" spans="2:11" s="263" customFormat="1">
      <c r="B121" s="264"/>
      <c r="I121" s="265"/>
      <c r="J121" s="265"/>
      <c r="K121" s="265"/>
    </row>
    <row r="122" spans="2:11" s="263" customFormat="1">
      <c r="B122" s="264"/>
      <c r="I122" s="265"/>
      <c r="J122" s="265"/>
      <c r="K122" s="265"/>
    </row>
    <row r="123" spans="2:11" s="263" customFormat="1">
      <c r="B123" s="264"/>
      <c r="I123" s="265"/>
      <c r="J123" s="265"/>
      <c r="K123" s="265"/>
    </row>
    <row r="124" spans="2:11" s="263" customFormat="1">
      <c r="B124" s="264"/>
      <c r="I124" s="265"/>
      <c r="J124" s="265"/>
      <c r="K124" s="265"/>
    </row>
    <row r="125" spans="2:11" s="263" customFormat="1">
      <c r="B125" s="264"/>
      <c r="I125" s="265"/>
      <c r="J125" s="265"/>
      <c r="K125" s="265"/>
    </row>
    <row r="126" spans="2:11" s="263" customFormat="1">
      <c r="B126" s="264"/>
      <c r="I126" s="265"/>
      <c r="J126" s="265"/>
      <c r="K126" s="265"/>
    </row>
    <row r="127" spans="2:11" s="263" customFormat="1">
      <c r="B127" s="264"/>
      <c r="I127" s="265"/>
      <c r="J127" s="265"/>
      <c r="K127" s="265"/>
    </row>
    <row r="128" spans="2:11" s="263" customFormat="1">
      <c r="B128" s="264"/>
      <c r="I128" s="265"/>
      <c r="J128" s="265"/>
      <c r="K128" s="265"/>
    </row>
    <row r="129" spans="2:11" s="263" customFormat="1">
      <c r="B129" s="264"/>
      <c r="I129" s="265"/>
      <c r="J129" s="265"/>
      <c r="K129" s="265"/>
    </row>
    <row r="130" spans="2:11" s="263" customFormat="1">
      <c r="B130" s="264"/>
      <c r="I130" s="265"/>
      <c r="J130" s="265"/>
      <c r="K130" s="265"/>
    </row>
    <row r="131" spans="2:11" s="263" customFormat="1">
      <c r="B131" s="264"/>
      <c r="I131" s="265"/>
      <c r="J131" s="265"/>
      <c r="K131" s="265"/>
    </row>
    <row r="132" spans="2:11" s="263" customFormat="1">
      <c r="B132" s="264"/>
      <c r="I132" s="265"/>
      <c r="J132" s="265"/>
      <c r="K132" s="265"/>
    </row>
    <row r="133" spans="2:11" s="263" customFormat="1">
      <c r="B133" s="264"/>
      <c r="I133" s="265"/>
      <c r="J133" s="265"/>
      <c r="K133" s="265"/>
    </row>
    <row r="134" spans="2:11" s="263" customFormat="1">
      <c r="B134" s="264"/>
      <c r="I134" s="265"/>
      <c r="J134" s="265"/>
      <c r="K134" s="265"/>
    </row>
    <row r="135" spans="2:11" s="263" customFormat="1">
      <c r="B135" s="264"/>
      <c r="I135" s="265"/>
      <c r="J135" s="265"/>
      <c r="K135" s="265"/>
    </row>
    <row r="136" spans="2:11" s="263" customFormat="1">
      <c r="B136" s="264"/>
      <c r="I136" s="265"/>
      <c r="J136" s="265"/>
      <c r="K136" s="265"/>
    </row>
    <row r="137" spans="2:11" s="263" customFormat="1">
      <c r="B137" s="264"/>
      <c r="I137" s="265"/>
      <c r="J137" s="265"/>
      <c r="K137" s="265"/>
    </row>
    <row r="138" spans="2:11" s="263" customFormat="1">
      <c r="B138" s="264"/>
      <c r="I138" s="265"/>
      <c r="J138" s="265"/>
      <c r="K138" s="265"/>
    </row>
    <row r="139" spans="2:11" s="263" customFormat="1">
      <c r="B139" s="264"/>
      <c r="I139" s="265"/>
      <c r="J139" s="265"/>
      <c r="K139" s="265"/>
    </row>
    <row r="140" spans="2:11" s="263" customFormat="1">
      <c r="B140" s="264"/>
      <c r="I140" s="265"/>
      <c r="J140" s="265"/>
      <c r="K140" s="265"/>
    </row>
    <row r="141" spans="2:11" s="263" customFormat="1">
      <c r="B141" s="264"/>
      <c r="I141" s="265"/>
      <c r="J141" s="265"/>
      <c r="K141" s="265"/>
    </row>
    <row r="142" spans="2:11" s="263" customFormat="1">
      <c r="B142" s="264"/>
      <c r="I142" s="265"/>
      <c r="J142" s="265"/>
      <c r="K142" s="265"/>
    </row>
    <row r="143" spans="2:11" s="263" customFormat="1">
      <c r="B143" s="264"/>
      <c r="I143" s="265"/>
      <c r="J143" s="265"/>
      <c r="K143" s="265"/>
    </row>
    <row r="144" spans="2:11" s="263" customFormat="1">
      <c r="B144" s="264"/>
      <c r="I144" s="265"/>
      <c r="J144" s="265"/>
      <c r="K144" s="265"/>
    </row>
    <row r="145" spans="2:11" s="263" customFormat="1">
      <c r="B145" s="264"/>
      <c r="I145" s="265"/>
      <c r="J145" s="265"/>
      <c r="K145" s="265"/>
    </row>
    <row r="146" spans="2:11" s="266" customFormat="1"/>
    <row r="147" spans="2:11" s="263" customFormat="1"/>
    <row r="148" spans="2:11" s="263" customFormat="1" ht="15" customHeight="1"/>
    <row r="149" spans="2:11" s="263" customFormat="1"/>
    <row r="150" spans="2:11" s="263" customFormat="1"/>
    <row r="151" spans="2:11" s="263" customFormat="1"/>
    <row r="152" spans="2:11" s="263" customFormat="1"/>
    <row r="153" spans="2:11" s="263" customFormat="1"/>
    <row r="154" spans="2:11" s="263" customFormat="1"/>
    <row r="155" spans="2:11" s="263" customFormat="1"/>
    <row r="156" spans="2:11" s="263" customFormat="1">
      <c r="B156" s="264"/>
      <c r="I156" s="265"/>
      <c r="J156" s="265"/>
      <c r="K156" s="265"/>
    </row>
    <row r="157" spans="2:11" s="263" customFormat="1"/>
    <row r="158" spans="2:11" s="263" customFormat="1"/>
    <row r="159" spans="2:11" s="263" customFormat="1"/>
    <row r="160" spans="2:11" s="263" customFormat="1"/>
    <row r="161" spans="2:11" s="263" customFormat="1"/>
    <row r="162" spans="2:11" s="263" customFormat="1">
      <c r="B162" s="264"/>
      <c r="I162" s="265"/>
      <c r="J162" s="265"/>
      <c r="K162" s="265"/>
    </row>
    <row r="163" spans="2:11" s="263" customFormat="1">
      <c r="B163" s="264"/>
      <c r="I163" s="265"/>
      <c r="J163" s="265"/>
      <c r="K163" s="265"/>
    </row>
    <row r="164" spans="2:11" s="263" customFormat="1">
      <c r="B164" s="264"/>
      <c r="I164" s="265"/>
      <c r="J164" s="265"/>
      <c r="K164" s="265"/>
    </row>
    <row r="165" spans="2:11" s="263" customFormat="1">
      <c r="B165" s="264"/>
      <c r="I165" s="265"/>
      <c r="J165" s="265"/>
      <c r="K165" s="265"/>
    </row>
    <row r="166" spans="2:11" s="263" customFormat="1">
      <c r="B166" s="264"/>
      <c r="I166" s="265"/>
      <c r="J166" s="265"/>
      <c r="K166" s="265"/>
    </row>
    <row r="167" spans="2:11" s="263" customFormat="1">
      <c r="B167" s="264"/>
      <c r="I167" s="265"/>
      <c r="J167" s="265"/>
      <c r="K167" s="265"/>
    </row>
    <row r="168" spans="2:11" s="263" customFormat="1">
      <c r="B168" s="264"/>
      <c r="I168" s="265"/>
      <c r="J168" s="265"/>
      <c r="K168" s="265"/>
    </row>
    <row r="169" spans="2:11" s="263" customFormat="1">
      <c r="B169" s="264"/>
      <c r="I169" s="265"/>
      <c r="J169" s="265"/>
      <c r="K169" s="265"/>
    </row>
    <row r="170" spans="2:11" s="263" customFormat="1">
      <c r="B170" s="264"/>
      <c r="I170" s="265"/>
      <c r="J170" s="265"/>
      <c r="K170" s="265"/>
    </row>
    <row r="171" spans="2:11" s="263" customFormat="1">
      <c r="B171" s="264"/>
      <c r="I171" s="265"/>
      <c r="J171" s="265"/>
      <c r="K171" s="265"/>
    </row>
    <row r="172" spans="2:11" s="263" customFormat="1">
      <c r="B172" s="264"/>
      <c r="I172" s="265"/>
      <c r="J172" s="265"/>
      <c r="K172" s="265"/>
    </row>
    <row r="173" spans="2:11" s="263" customFormat="1">
      <c r="B173" s="264"/>
      <c r="I173" s="265"/>
      <c r="J173" s="265"/>
      <c r="K173" s="265"/>
    </row>
    <row r="174" spans="2:11" s="263" customFormat="1">
      <c r="B174" s="264"/>
      <c r="I174" s="265"/>
      <c r="J174" s="265"/>
      <c r="K174" s="265"/>
    </row>
    <row r="175" spans="2:11" s="263" customFormat="1">
      <c r="B175" s="264"/>
      <c r="I175" s="265"/>
      <c r="J175" s="265"/>
      <c r="K175" s="265"/>
    </row>
    <row r="176" spans="2:11" s="263" customFormat="1">
      <c r="B176" s="264"/>
      <c r="I176" s="265"/>
      <c r="J176" s="265"/>
      <c r="K176" s="265"/>
    </row>
    <row r="177" spans="2:11" s="263" customFormat="1">
      <c r="B177" s="264"/>
      <c r="I177" s="265"/>
      <c r="J177" s="265"/>
      <c r="K177" s="265"/>
    </row>
    <row r="178" spans="2:11" s="263" customFormat="1">
      <c r="B178" s="264"/>
      <c r="I178" s="265"/>
      <c r="J178" s="265"/>
      <c r="K178" s="265"/>
    </row>
    <row r="179" spans="2:11" s="263" customFormat="1">
      <c r="B179" s="264"/>
      <c r="I179" s="265"/>
      <c r="J179" s="265"/>
      <c r="K179" s="265"/>
    </row>
    <row r="180" spans="2:11" s="263" customFormat="1">
      <c r="B180" s="264"/>
      <c r="I180" s="265"/>
      <c r="J180" s="265"/>
      <c r="K180" s="265"/>
    </row>
    <row r="181" spans="2:11" s="263" customFormat="1">
      <c r="B181" s="264"/>
      <c r="I181" s="265"/>
      <c r="J181" s="265"/>
      <c r="K181" s="265"/>
    </row>
    <row r="182" spans="2:11" s="263" customFormat="1">
      <c r="B182" s="264"/>
      <c r="I182" s="265"/>
      <c r="J182" s="265"/>
      <c r="K182" s="265"/>
    </row>
    <row r="183" spans="2:11" s="263" customFormat="1">
      <c r="B183" s="264"/>
      <c r="I183" s="265"/>
      <c r="J183" s="265"/>
      <c r="K183" s="265"/>
    </row>
    <row r="184" spans="2:11" s="263" customFormat="1">
      <c r="B184" s="264"/>
      <c r="I184" s="265"/>
      <c r="J184" s="265"/>
      <c r="K184" s="265"/>
    </row>
    <row r="185" spans="2:11" s="263" customFormat="1">
      <c r="B185" s="264"/>
      <c r="I185" s="265"/>
      <c r="J185" s="265"/>
      <c r="K185" s="265"/>
    </row>
    <row r="186" spans="2:11" s="263" customFormat="1">
      <c r="B186" s="264"/>
      <c r="I186" s="265"/>
      <c r="J186" s="265"/>
      <c r="K186" s="265"/>
    </row>
    <row r="187" spans="2:11" s="263" customFormat="1">
      <c r="B187" s="264"/>
      <c r="I187" s="265"/>
      <c r="J187" s="265"/>
      <c r="K187" s="265"/>
    </row>
    <row r="188" spans="2:11" s="263" customFormat="1">
      <c r="B188" s="264"/>
      <c r="I188" s="265"/>
      <c r="J188" s="265"/>
      <c r="K188" s="265"/>
    </row>
    <row r="189" spans="2:11" s="263" customFormat="1">
      <c r="B189" s="264"/>
      <c r="I189" s="265"/>
      <c r="J189" s="265"/>
      <c r="K189" s="265"/>
    </row>
    <row r="190" spans="2:11" s="263" customFormat="1">
      <c r="B190" s="264"/>
      <c r="I190" s="265"/>
      <c r="J190" s="265"/>
      <c r="K190" s="265"/>
    </row>
    <row r="191" spans="2:11" s="263" customFormat="1">
      <c r="B191" s="264"/>
      <c r="I191" s="265"/>
      <c r="J191" s="265"/>
      <c r="K191" s="265"/>
    </row>
    <row r="192" spans="2:11" s="263" customFormat="1">
      <c r="B192" s="264"/>
      <c r="I192" s="265"/>
      <c r="J192" s="265"/>
      <c r="K192" s="265"/>
    </row>
    <row r="193" spans="2:11" s="263" customFormat="1">
      <c r="B193" s="264"/>
      <c r="I193" s="265"/>
      <c r="J193" s="265"/>
      <c r="K193" s="265"/>
    </row>
    <row r="194" spans="2:11" s="263" customFormat="1">
      <c r="B194" s="264"/>
      <c r="I194" s="265"/>
      <c r="J194" s="265"/>
      <c r="K194" s="265"/>
    </row>
    <row r="195" spans="2:11" s="263" customFormat="1">
      <c r="B195" s="264"/>
      <c r="I195" s="265"/>
      <c r="J195" s="265"/>
      <c r="K195" s="265"/>
    </row>
    <row r="196" spans="2:11" s="263" customFormat="1">
      <c r="B196" s="264"/>
      <c r="I196" s="265"/>
      <c r="J196" s="265"/>
      <c r="K196" s="265"/>
    </row>
    <row r="197" spans="2:11" s="263" customFormat="1">
      <c r="B197" s="264"/>
      <c r="I197" s="265"/>
      <c r="J197" s="265"/>
      <c r="K197" s="265"/>
    </row>
    <row r="198" spans="2:11" s="263" customFormat="1">
      <c r="B198" s="264"/>
      <c r="I198" s="265"/>
      <c r="J198" s="265"/>
      <c r="K198" s="265"/>
    </row>
    <row r="199" spans="2:11" s="263" customFormat="1">
      <c r="B199" s="264"/>
      <c r="I199" s="265"/>
      <c r="J199" s="265"/>
      <c r="K199" s="265"/>
    </row>
    <row r="200" spans="2:11" s="263" customFormat="1">
      <c r="B200" s="264"/>
      <c r="I200" s="265"/>
      <c r="J200" s="265"/>
      <c r="K200" s="265"/>
    </row>
    <row r="201" spans="2:11" s="263" customFormat="1">
      <c r="B201" s="264"/>
      <c r="I201" s="265"/>
      <c r="J201" s="265"/>
      <c r="K201" s="265"/>
    </row>
    <row r="202" spans="2:11" s="263" customFormat="1">
      <c r="B202" s="264"/>
      <c r="I202" s="265"/>
      <c r="J202" s="265"/>
      <c r="K202" s="265"/>
    </row>
    <row r="203" spans="2:11" s="263" customFormat="1">
      <c r="B203" s="264"/>
      <c r="I203" s="265"/>
      <c r="J203" s="265"/>
      <c r="K203" s="265"/>
    </row>
    <row r="204" spans="2:11" s="263" customFormat="1">
      <c r="B204" s="264"/>
      <c r="I204" s="265"/>
      <c r="J204" s="265"/>
      <c r="K204" s="265"/>
    </row>
    <row r="205" spans="2:11" s="263" customFormat="1">
      <c r="B205" s="264"/>
      <c r="I205" s="265"/>
      <c r="J205" s="265"/>
      <c r="K205" s="265"/>
    </row>
    <row r="206" spans="2:11" s="263" customFormat="1">
      <c r="B206" s="264"/>
      <c r="I206" s="265"/>
      <c r="J206" s="265"/>
      <c r="K206" s="265"/>
    </row>
    <row r="207" spans="2:11" s="263" customFormat="1">
      <c r="B207" s="264"/>
      <c r="I207" s="265"/>
      <c r="J207" s="265"/>
      <c r="K207" s="265"/>
    </row>
    <row r="208" spans="2:11" s="263" customFormat="1">
      <c r="B208" s="264"/>
      <c r="I208" s="265"/>
      <c r="J208" s="265"/>
      <c r="K208" s="265"/>
    </row>
    <row r="209" spans="2:11" s="263" customFormat="1">
      <c r="B209" s="264"/>
      <c r="I209" s="265"/>
      <c r="J209" s="265"/>
      <c r="K209" s="265"/>
    </row>
    <row r="210" spans="2:11" s="263" customFormat="1">
      <c r="B210" s="264"/>
      <c r="I210" s="265"/>
      <c r="J210" s="265"/>
      <c r="K210" s="265"/>
    </row>
    <row r="211" spans="2:11" s="263" customFormat="1">
      <c r="B211" s="264"/>
      <c r="I211" s="265"/>
      <c r="J211" s="265"/>
      <c r="K211" s="265"/>
    </row>
    <row r="212" spans="2:11" s="263" customFormat="1">
      <c r="B212" s="264"/>
      <c r="I212" s="265"/>
      <c r="J212" s="265"/>
      <c r="K212" s="265"/>
    </row>
    <row r="213" spans="2:11" s="263" customFormat="1">
      <c r="B213" s="264"/>
      <c r="I213" s="265"/>
      <c r="J213" s="265"/>
      <c r="K213" s="265"/>
    </row>
    <row r="214" spans="2:11" s="263" customFormat="1">
      <c r="B214" s="264"/>
      <c r="I214" s="265"/>
      <c r="J214" s="265"/>
      <c r="K214" s="265"/>
    </row>
    <row r="215" spans="2:11" s="263" customFormat="1">
      <c r="B215" s="264"/>
      <c r="I215" s="265"/>
      <c r="J215" s="265"/>
      <c r="K215" s="265"/>
    </row>
    <row r="216" spans="2:11" s="263" customFormat="1">
      <c r="B216" s="264"/>
      <c r="I216" s="265"/>
      <c r="J216" s="265"/>
      <c r="K216" s="265"/>
    </row>
    <row r="217" spans="2:11" s="263" customFormat="1">
      <c r="B217" s="264"/>
      <c r="I217" s="265"/>
      <c r="J217" s="265"/>
      <c r="K217" s="265"/>
    </row>
    <row r="218" spans="2:11" s="263" customFormat="1">
      <c r="B218" s="264"/>
      <c r="I218" s="265"/>
      <c r="J218" s="265"/>
      <c r="K218" s="265"/>
    </row>
    <row r="219" spans="2:11" s="263" customFormat="1">
      <c r="B219" s="264"/>
      <c r="I219" s="265"/>
      <c r="J219" s="265"/>
      <c r="K219" s="265"/>
    </row>
    <row r="220" spans="2:11" s="263" customFormat="1">
      <c r="B220" s="264"/>
      <c r="I220" s="265"/>
      <c r="J220" s="265"/>
      <c r="K220" s="265"/>
    </row>
    <row r="221" spans="2:11" s="263" customFormat="1">
      <c r="B221" s="264"/>
      <c r="I221" s="265"/>
      <c r="J221" s="265"/>
      <c r="K221" s="265"/>
    </row>
    <row r="222" spans="2:11" s="263" customFormat="1">
      <c r="B222" s="264"/>
      <c r="I222" s="265"/>
      <c r="J222" s="265"/>
      <c r="K222" s="265"/>
    </row>
    <row r="223" spans="2:11" s="263" customFormat="1">
      <c r="B223" s="264"/>
      <c r="I223" s="265"/>
      <c r="J223" s="265"/>
      <c r="K223" s="265"/>
    </row>
    <row r="224" spans="2:11" s="263" customFormat="1">
      <c r="B224" s="264"/>
      <c r="I224" s="265"/>
      <c r="J224" s="265"/>
      <c r="K224" s="265"/>
    </row>
    <row r="225" spans="2:11" s="263" customFormat="1">
      <c r="B225" s="264"/>
      <c r="I225" s="265"/>
      <c r="J225" s="265"/>
      <c r="K225" s="265"/>
    </row>
    <row r="226" spans="2:11" s="263" customFormat="1">
      <c r="B226" s="264"/>
      <c r="I226" s="265"/>
      <c r="J226" s="265"/>
      <c r="K226" s="265"/>
    </row>
    <row r="227" spans="2:11" s="263" customFormat="1">
      <c r="B227" s="264"/>
      <c r="I227" s="265"/>
      <c r="J227" s="265"/>
      <c r="K227" s="265"/>
    </row>
    <row r="228" spans="2:11" s="263" customFormat="1">
      <c r="B228" s="264"/>
      <c r="I228" s="265"/>
      <c r="J228" s="265"/>
      <c r="K228" s="265"/>
    </row>
    <row r="229" spans="2:11" s="263" customFormat="1">
      <c r="B229" s="264"/>
      <c r="I229" s="265"/>
      <c r="J229" s="265"/>
      <c r="K229" s="265"/>
    </row>
    <row r="230" spans="2:11" s="263" customFormat="1">
      <c r="B230" s="264"/>
      <c r="I230" s="265"/>
      <c r="J230" s="265"/>
      <c r="K230" s="265"/>
    </row>
    <row r="231" spans="2:11" s="263" customFormat="1">
      <c r="B231" s="264"/>
      <c r="I231" s="265"/>
      <c r="J231" s="265"/>
      <c r="K231" s="265"/>
    </row>
    <row r="232" spans="2:11" s="263" customFormat="1">
      <c r="B232" s="264"/>
      <c r="I232" s="265"/>
      <c r="J232" s="265"/>
      <c r="K232" s="265"/>
    </row>
    <row r="233" spans="2:11" s="263" customFormat="1">
      <c r="B233" s="264"/>
      <c r="I233" s="265"/>
      <c r="J233" s="265"/>
      <c r="K233" s="265"/>
    </row>
    <row r="234" spans="2:11" s="263" customFormat="1">
      <c r="B234" s="264"/>
      <c r="I234" s="265"/>
      <c r="J234" s="265"/>
      <c r="K234" s="265"/>
    </row>
    <row r="235" spans="2:11" s="263" customFormat="1">
      <c r="B235" s="264"/>
      <c r="I235" s="265"/>
      <c r="J235" s="265"/>
      <c r="K235" s="265"/>
    </row>
    <row r="236" spans="2:11" s="263" customFormat="1">
      <c r="B236" s="264"/>
      <c r="I236" s="265"/>
      <c r="J236" s="265"/>
      <c r="K236" s="265"/>
    </row>
    <row r="237" spans="2:11" s="263" customFormat="1">
      <c r="B237" s="264"/>
      <c r="I237" s="265"/>
      <c r="J237" s="265"/>
      <c r="K237" s="265"/>
    </row>
    <row r="238" spans="2:11" s="263" customFormat="1">
      <c r="B238" s="264"/>
      <c r="I238" s="265"/>
      <c r="J238" s="265"/>
      <c r="K238" s="265"/>
    </row>
    <row r="239" spans="2:11" s="263" customFormat="1">
      <c r="B239" s="264"/>
      <c r="I239" s="265"/>
      <c r="J239" s="265"/>
      <c r="K239" s="265"/>
    </row>
  </sheetData>
  <mergeCells count="80">
    <mergeCell ref="B26:E26"/>
    <mergeCell ref="B27:E27"/>
    <mergeCell ref="B28:E28"/>
    <mergeCell ref="E60:K61"/>
    <mergeCell ref="E62:K63"/>
    <mergeCell ref="B60:C61"/>
    <mergeCell ref="B34:E34"/>
    <mergeCell ref="B35:E35"/>
    <mergeCell ref="B37:E37"/>
    <mergeCell ref="B38:E38"/>
    <mergeCell ref="B39:E39"/>
    <mergeCell ref="B51:D52"/>
    <mergeCell ref="E51:K52"/>
    <mergeCell ref="E53:K53"/>
    <mergeCell ref="E54:K55"/>
    <mergeCell ref="E56:K57"/>
    <mergeCell ref="B6:E6"/>
    <mergeCell ref="B8:E8"/>
    <mergeCell ref="B9:E9"/>
    <mergeCell ref="B10:E10"/>
    <mergeCell ref="B11:E11"/>
    <mergeCell ref="B12:E12"/>
    <mergeCell ref="B22:E22"/>
    <mergeCell ref="B23:E23"/>
    <mergeCell ref="B25:E25"/>
    <mergeCell ref="B13:E13"/>
    <mergeCell ref="B14:E14"/>
    <mergeCell ref="B15:E15"/>
    <mergeCell ref="B19:E19"/>
    <mergeCell ref="B20:E20"/>
    <mergeCell ref="B21:E21"/>
    <mergeCell ref="B54:C55"/>
    <mergeCell ref="D54:D55"/>
    <mergeCell ref="D56:D59"/>
    <mergeCell ref="E58:K59"/>
    <mergeCell ref="B72:C73"/>
    <mergeCell ref="D72:D73"/>
    <mergeCell ref="B66:C67"/>
    <mergeCell ref="D74:D77"/>
    <mergeCell ref="E72:K73"/>
    <mergeCell ref="E74:K75"/>
    <mergeCell ref="E76:K77"/>
    <mergeCell ref="D60:D61"/>
    <mergeCell ref="D62:D65"/>
    <mergeCell ref="E70:K71"/>
    <mergeCell ref="E64:K65"/>
    <mergeCell ref="E66:K67"/>
    <mergeCell ref="E68:K69"/>
    <mergeCell ref="D66:D67"/>
    <mergeCell ref="D68:D71"/>
    <mergeCell ref="B81:E81"/>
    <mergeCell ref="F81:I81"/>
    <mergeCell ref="B82:C82"/>
    <mergeCell ref="D82:E82"/>
    <mergeCell ref="B84:C84"/>
    <mergeCell ref="D84:E84"/>
    <mergeCell ref="B94:C94"/>
    <mergeCell ref="B85:C85"/>
    <mergeCell ref="D85:E85"/>
    <mergeCell ref="B87:C87"/>
    <mergeCell ref="D87:E87"/>
    <mergeCell ref="B88:C88"/>
    <mergeCell ref="D88:E88"/>
    <mergeCell ref="B89:C89"/>
    <mergeCell ref="B90:C90"/>
    <mergeCell ref="B91:C91"/>
    <mergeCell ref="B92:C92"/>
    <mergeCell ref="B93:C93"/>
    <mergeCell ref="B86:C86"/>
    <mergeCell ref="D86:E86"/>
    <mergeCell ref="B101:C101"/>
    <mergeCell ref="B102:C102"/>
    <mergeCell ref="B103:C103"/>
    <mergeCell ref="D103:E103"/>
    <mergeCell ref="B95:C95"/>
    <mergeCell ref="B96:C96"/>
    <mergeCell ref="B97:C97"/>
    <mergeCell ref="B98:C98"/>
    <mergeCell ref="B99:C99"/>
    <mergeCell ref="B100:C100"/>
  </mergeCells>
  <pageMargins left="0.25" right="0.25" top="0.75" bottom="0.75" header="0.3" footer="0.3"/>
  <pageSetup paperSize="9" scale="23" orientation="portrait" horizontalDpi="4294967292" verticalDpi="4294967292" r:id="rId1"/>
  <headerFooter>
    <oddHeader>&amp;CTable 4.1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P45"/>
  <sheetViews>
    <sheetView zoomScale="55" zoomScaleNormal="55" workbookViewId="0">
      <selection activeCell="G17" sqref="G17"/>
    </sheetView>
  </sheetViews>
  <sheetFormatPr defaultColWidth="9" defaultRowHeight="13.2"/>
  <cols>
    <col min="1" max="1" width="20.44140625" style="363" customWidth="1"/>
    <col min="2" max="2" width="48.44140625" style="363" bestFit="1" customWidth="1"/>
    <col min="3" max="3" width="46" style="363" customWidth="1"/>
    <col min="4" max="5" width="25.44140625" style="363" customWidth="1"/>
    <col min="6" max="6" width="30.33203125" style="363" customWidth="1"/>
    <col min="7" max="7" width="40.6640625" style="363" bestFit="1" customWidth="1"/>
    <col min="8" max="11" width="25.44140625" style="363" customWidth="1"/>
    <col min="12" max="12" width="42.33203125" style="363" customWidth="1"/>
    <col min="13" max="13" width="30.6640625" style="363" bestFit="1" customWidth="1"/>
    <col min="14" max="16384" width="9" style="363"/>
  </cols>
  <sheetData>
    <row r="1" spans="1:15" s="390" customFormat="1">
      <c r="A1" s="1474" t="s">
        <v>1147</v>
      </c>
      <c r="B1" s="1474"/>
      <c r="C1" s="1474"/>
      <c r="D1" s="1474"/>
      <c r="E1" s="1474"/>
      <c r="F1" s="1474"/>
      <c r="G1" s="1474"/>
      <c r="H1" s="1474"/>
      <c r="I1" s="389"/>
      <c r="J1" s="389"/>
      <c r="K1" s="389"/>
    </row>
    <row r="2" spans="1:15" s="390" customFormat="1" ht="14.4">
      <c r="A2" s="1478" t="s">
        <v>2550</v>
      </c>
      <c r="B2" s="1479"/>
      <c r="C2" s="1479"/>
      <c r="D2" s="1479"/>
      <c r="E2" s="1479"/>
      <c r="F2" s="1479"/>
      <c r="G2" s="1479"/>
      <c r="H2" s="1479"/>
      <c r="I2" s="389"/>
      <c r="J2" s="389"/>
      <c r="K2" s="389"/>
    </row>
    <row r="3" spans="1:15" s="388" customFormat="1">
      <c r="A3" s="1476" t="s">
        <v>1493</v>
      </c>
      <c r="B3" s="1477"/>
      <c r="C3" s="1477"/>
      <c r="D3" s="1477"/>
      <c r="E3" s="1477"/>
      <c r="F3" s="1477"/>
      <c r="G3" s="1477"/>
      <c r="H3" s="1477"/>
      <c r="I3" s="391"/>
      <c r="J3" s="391"/>
      <c r="K3" s="391"/>
      <c r="L3" s="391"/>
      <c r="M3" s="391"/>
      <c r="N3" s="391"/>
      <c r="O3" s="391"/>
    </row>
    <row r="4" spans="1:15" s="388" customFormat="1">
      <c r="A4" s="99"/>
      <c r="B4" s="99"/>
      <c r="C4" s="99"/>
      <c r="D4" s="99"/>
      <c r="E4" s="99"/>
      <c r="F4" s="99"/>
      <c r="G4" s="99"/>
    </row>
    <row r="5" spans="1:15" s="388" customFormat="1">
      <c r="A5" s="120" t="s">
        <v>254</v>
      </c>
      <c r="B5" s="1413">
        <f>'City information'!$C$4</f>
        <v>0</v>
      </c>
      <c r="C5" s="120"/>
      <c r="D5" s="120"/>
      <c r="E5" s="120"/>
      <c r="F5" s="120"/>
      <c r="G5" s="120"/>
      <c r="H5" s="120"/>
    </row>
    <row r="6" spans="1:15" s="388" customFormat="1">
      <c r="A6" s="120" t="s">
        <v>140</v>
      </c>
      <c r="B6" s="1413">
        <f>'City information'!$C$5</f>
        <v>2562</v>
      </c>
      <c r="C6" s="120"/>
      <c r="D6" s="120"/>
      <c r="E6" s="120"/>
      <c r="F6" s="120"/>
      <c r="G6" s="120"/>
      <c r="H6" s="120"/>
    </row>
    <row r="7" spans="1:15" s="388" customFormat="1">
      <c r="A7" s="99"/>
      <c r="B7" s="99"/>
      <c r="C7" s="99"/>
      <c r="D7" s="99"/>
      <c r="E7" s="99"/>
      <c r="F7" s="99"/>
      <c r="G7" s="99"/>
    </row>
    <row r="8" spans="1:15" s="388" customFormat="1" ht="14.4">
      <c r="A8" s="111" t="s">
        <v>447</v>
      </c>
      <c r="B8" s="112"/>
      <c r="C8" s="111"/>
      <c r="D8" s="111"/>
      <c r="E8" s="111"/>
      <c r="F8" s="111"/>
      <c r="G8" s="1687" t="s">
        <v>444</v>
      </c>
    </row>
    <row r="9" spans="1:15" s="388" customFormat="1">
      <c r="A9" s="99"/>
      <c r="B9" s="938"/>
      <c r="D9" s="99"/>
      <c r="E9" s="99"/>
      <c r="F9" s="863" t="s">
        <v>438</v>
      </c>
      <c r="G9" s="1467">
        <f>GPC!$F$85</f>
        <v>28</v>
      </c>
    </row>
    <row r="10" spans="1:15" ht="31.95" customHeight="1">
      <c r="A10" s="1471" t="s">
        <v>1495</v>
      </c>
      <c r="B10" s="1471" t="s">
        <v>1496</v>
      </c>
      <c r="C10" s="1471" t="s">
        <v>2434</v>
      </c>
      <c r="D10" s="1471" t="s">
        <v>2279</v>
      </c>
      <c r="E10" s="1471" t="s">
        <v>1497</v>
      </c>
      <c r="F10" s="1471" t="s">
        <v>2281</v>
      </c>
      <c r="G10" s="1472" t="s">
        <v>2452</v>
      </c>
      <c r="H10" s="1701" t="s">
        <v>2451</v>
      </c>
    </row>
    <row r="11" spans="1:15">
      <c r="A11" s="1688">
        <v>1</v>
      </c>
      <c r="B11" s="1689" t="s">
        <v>2276</v>
      </c>
      <c r="C11" s="1745"/>
      <c r="D11" s="1533"/>
      <c r="E11" s="1250"/>
      <c r="F11" s="392">
        <f>D30</f>
        <v>120</v>
      </c>
      <c r="G11" s="1459">
        <f t="shared" ref="G11:G18" si="0">IF(AND(D11="",F11=""),"",(D11*(1/6.25))*E11*F11*L30)</f>
        <v>0</v>
      </c>
      <c r="H11" s="1460">
        <f>IF(AND(G11=""),"",(G11*$G$9)/1000)</f>
        <v>0</v>
      </c>
    </row>
    <row r="12" spans="1:15">
      <c r="A12" s="1688">
        <v>2</v>
      </c>
      <c r="B12" s="1689" t="s">
        <v>2275</v>
      </c>
      <c r="C12" s="1745"/>
      <c r="D12" s="1360"/>
      <c r="E12" s="1361"/>
      <c r="F12" s="392">
        <f>D31</f>
        <v>120</v>
      </c>
      <c r="G12" s="1459">
        <f t="shared" si="0"/>
        <v>0</v>
      </c>
      <c r="H12" s="1460">
        <f>IF(AND(G12=""),"",(G12*$G$9)/1000)</f>
        <v>0</v>
      </c>
    </row>
    <row r="13" spans="1:15">
      <c r="A13" s="1688">
        <v>3</v>
      </c>
      <c r="B13" s="1689" t="s">
        <v>2274</v>
      </c>
      <c r="C13" s="1745"/>
      <c r="D13" s="1533"/>
      <c r="E13" s="1250"/>
      <c r="F13" s="392">
        <f t="shared" ref="F13:F18" si="1">D32</f>
        <v>120</v>
      </c>
      <c r="G13" s="1459">
        <f t="shared" si="0"/>
        <v>0</v>
      </c>
      <c r="H13" s="1460">
        <f t="shared" ref="H13:H23" si="2">IF(AND(G13=""),"",(G13*$G$9)/1000)</f>
        <v>0</v>
      </c>
    </row>
    <row r="14" spans="1:15">
      <c r="A14" s="1688">
        <v>4</v>
      </c>
      <c r="B14" s="1689" t="s">
        <v>2270</v>
      </c>
      <c r="C14" s="1745"/>
      <c r="D14" s="1533"/>
      <c r="E14" s="1250"/>
      <c r="F14" s="392">
        <f t="shared" si="1"/>
        <v>120</v>
      </c>
      <c r="G14" s="1459">
        <f t="shared" si="0"/>
        <v>0</v>
      </c>
      <c r="H14" s="1460">
        <f t="shared" si="2"/>
        <v>0</v>
      </c>
    </row>
    <row r="15" spans="1:15">
      <c r="A15" s="1688">
        <v>5</v>
      </c>
      <c r="B15" s="1689" t="s">
        <v>2286</v>
      </c>
      <c r="C15" s="1745"/>
      <c r="D15" s="1360"/>
      <c r="E15" s="1361"/>
      <c r="F15" s="392">
        <f t="shared" si="1"/>
        <v>120</v>
      </c>
      <c r="G15" s="1459">
        <f t="shared" si="0"/>
        <v>0</v>
      </c>
      <c r="H15" s="1460">
        <f>IF(AND(G15=""),"",(G15*$G$9)/1000)</f>
        <v>0</v>
      </c>
    </row>
    <row r="16" spans="1:15">
      <c r="A16" s="1688">
        <v>6</v>
      </c>
      <c r="B16" s="1689" t="s">
        <v>2271</v>
      </c>
      <c r="C16" s="1745"/>
      <c r="D16" s="1533"/>
      <c r="E16" s="1250"/>
      <c r="F16" s="392">
        <f t="shared" si="1"/>
        <v>164</v>
      </c>
      <c r="G16" s="1459">
        <f t="shared" si="0"/>
        <v>0</v>
      </c>
      <c r="H16" s="1460">
        <f t="shared" si="2"/>
        <v>0</v>
      </c>
    </row>
    <row r="17" spans="1:12">
      <c r="A17" s="1688">
        <v>7</v>
      </c>
      <c r="B17" s="1689" t="s">
        <v>2277</v>
      </c>
      <c r="C17" s="1745"/>
      <c r="D17" s="1533"/>
      <c r="E17" s="1250"/>
      <c r="F17" s="392">
        <f>D37</f>
        <v>120</v>
      </c>
      <c r="G17" s="1459">
        <f t="shared" si="0"/>
        <v>0</v>
      </c>
      <c r="H17" s="1460">
        <f t="shared" si="2"/>
        <v>0</v>
      </c>
    </row>
    <row r="18" spans="1:12">
      <c r="A18" s="1688">
        <v>8</v>
      </c>
      <c r="B18" s="1689" t="s">
        <v>2273</v>
      </c>
      <c r="C18" s="1745"/>
      <c r="D18" s="1360"/>
      <c r="E18" s="1361"/>
      <c r="F18" s="392">
        <f t="shared" si="1"/>
        <v>120</v>
      </c>
      <c r="G18" s="1459">
        <f t="shared" si="0"/>
        <v>0</v>
      </c>
      <c r="H18" s="1460">
        <f t="shared" si="2"/>
        <v>0</v>
      </c>
    </row>
    <row r="19" spans="1:12">
      <c r="A19" s="1688">
        <v>9</v>
      </c>
      <c r="B19" s="1689" t="s">
        <v>2272</v>
      </c>
      <c r="C19" s="1745"/>
      <c r="D19" s="1533"/>
      <c r="E19" s="1250"/>
      <c r="F19" s="392">
        <f>D37</f>
        <v>120</v>
      </c>
      <c r="G19" s="1459">
        <f>IF(AND(D19="",F19=""),"",(D19*(1/6.25))*E19*F19*L32)</f>
        <v>0</v>
      </c>
      <c r="H19" s="1460">
        <f t="shared" si="2"/>
        <v>0</v>
      </c>
    </row>
    <row r="20" spans="1:12">
      <c r="A20" s="1688">
        <v>10</v>
      </c>
      <c r="B20" s="1689" t="s">
        <v>2284</v>
      </c>
      <c r="C20" s="1745"/>
      <c r="D20" s="1533"/>
      <c r="E20" s="1250"/>
      <c r="F20" s="392">
        <f>D37</f>
        <v>120</v>
      </c>
      <c r="G20" s="1459">
        <f>IF(AND(D20="",F20=""),"",(D20*(1/6.25))*E20*F20*L33)</f>
        <v>0</v>
      </c>
      <c r="H20" s="1460">
        <f>IF(AND(G20=""),"",(G20*$G$9)/1000)</f>
        <v>0</v>
      </c>
    </row>
    <row r="21" spans="1:12">
      <c r="A21" s="1688">
        <v>11</v>
      </c>
      <c r="B21" s="1689" t="s">
        <v>2287</v>
      </c>
      <c r="C21" s="1745"/>
      <c r="D21" s="1360"/>
      <c r="E21" s="1361"/>
      <c r="F21" s="392">
        <f>D37</f>
        <v>120</v>
      </c>
      <c r="G21" s="1459">
        <f>IF(AND(D21="",F21=""),"",(D21*(1/6.25))*E21*F21*L34)</f>
        <v>0</v>
      </c>
      <c r="H21" s="1460">
        <f>IF(AND(G21=""),"",(G21*$G$9)/1000)</f>
        <v>0</v>
      </c>
    </row>
    <row r="22" spans="1:12">
      <c r="A22" s="1688">
        <v>12</v>
      </c>
      <c r="B22" s="1689" t="s">
        <v>2285</v>
      </c>
      <c r="C22" s="1745"/>
      <c r="D22" s="1533"/>
      <c r="E22" s="1250"/>
      <c r="F22" s="392">
        <v>120</v>
      </c>
      <c r="G22" s="1459">
        <f>IF(AND(D22="",F22=""),"",(D22*(1/6.25))*E22*F22*L35)</f>
        <v>0</v>
      </c>
      <c r="H22" s="1460">
        <f>IF(AND(G22=""),"",(G22*$G$9)/1000)</f>
        <v>0</v>
      </c>
    </row>
    <row r="23" spans="1:12">
      <c r="A23" s="1688">
        <v>13</v>
      </c>
      <c r="B23" s="1689" t="s">
        <v>1503</v>
      </c>
      <c r="C23" s="1745"/>
      <c r="D23" s="1533"/>
      <c r="E23" s="1250"/>
      <c r="F23" s="741">
        <f>D36</f>
        <v>136</v>
      </c>
      <c r="G23" s="1459">
        <f>IF(AND(D23="",F23=""),"",(D23*(1/6.25))*E23*F23*L36)</f>
        <v>0</v>
      </c>
      <c r="H23" s="1460">
        <f t="shared" si="2"/>
        <v>0</v>
      </c>
    </row>
    <row r="24" spans="1:12">
      <c r="A24" s="2378" t="s">
        <v>250</v>
      </c>
      <c r="B24" s="2379"/>
      <c r="C24" s="2379"/>
      <c r="D24" s="1690">
        <f>SUM(D11:D23)</f>
        <v>0</v>
      </c>
      <c r="E24" s="1690">
        <f>SUM(E11:E23)</f>
        <v>0</v>
      </c>
      <c r="F24" s="1691"/>
      <c r="G24" s="1692">
        <f>SUM(G11:G23)</f>
        <v>0</v>
      </c>
      <c r="H24" s="1692">
        <f>SUM(H11:H23)</f>
        <v>0</v>
      </c>
      <c r="I24" s="366"/>
    </row>
    <row r="25" spans="1:12">
      <c r="A25" s="368"/>
    </row>
    <row r="26" spans="1:12" s="364" customFormat="1" ht="39.6">
      <c r="A26" s="2381" t="s">
        <v>1504</v>
      </c>
      <c r="B26" s="2381" t="s">
        <v>1505</v>
      </c>
      <c r="C26" s="2381" t="s">
        <v>1496</v>
      </c>
      <c r="D26" s="2381" t="s">
        <v>1506</v>
      </c>
      <c r="E26" s="2381" t="s">
        <v>1507</v>
      </c>
      <c r="F26" s="875" t="s">
        <v>1508</v>
      </c>
      <c r="G26" s="875" t="s">
        <v>1509</v>
      </c>
      <c r="H26" s="875" t="s">
        <v>1510</v>
      </c>
      <c r="I26" s="875" t="s">
        <v>1511</v>
      </c>
      <c r="J26" s="2381" t="s">
        <v>1512</v>
      </c>
      <c r="K26" s="2381" t="s">
        <v>1513</v>
      </c>
      <c r="L26" s="2381" t="s">
        <v>1514</v>
      </c>
    </row>
    <row r="27" spans="1:12" s="364" customFormat="1" ht="20.100000000000001" customHeight="1">
      <c r="A27" s="2382"/>
      <c r="B27" s="2382"/>
      <c r="C27" s="2382"/>
      <c r="D27" s="2382" t="s">
        <v>1515</v>
      </c>
      <c r="E27" s="2382" t="s">
        <v>1516</v>
      </c>
      <c r="F27" s="876" t="s">
        <v>1358</v>
      </c>
      <c r="G27" s="876" t="s">
        <v>1358</v>
      </c>
      <c r="H27" s="876" t="s">
        <v>1517</v>
      </c>
      <c r="I27" s="876" t="s">
        <v>1358</v>
      </c>
      <c r="J27" s="2382" t="s">
        <v>1358</v>
      </c>
      <c r="K27" s="2382" t="s">
        <v>1358</v>
      </c>
      <c r="L27" s="2382" t="s">
        <v>1516</v>
      </c>
    </row>
    <row r="28" spans="1:12" s="364" customFormat="1" ht="14.4">
      <c r="A28" s="369"/>
      <c r="B28" s="369"/>
      <c r="C28" s="369"/>
      <c r="D28" s="369"/>
      <c r="E28" s="369" t="s">
        <v>1518</v>
      </c>
      <c r="F28" s="369" t="s">
        <v>1519</v>
      </c>
      <c r="G28" s="369" t="s">
        <v>1520</v>
      </c>
      <c r="H28" s="369"/>
      <c r="I28" s="369" t="s">
        <v>1521</v>
      </c>
      <c r="J28" s="369" t="s">
        <v>1522</v>
      </c>
      <c r="K28" s="369" t="s">
        <v>1523</v>
      </c>
      <c r="L28" s="369" t="s">
        <v>1524</v>
      </c>
    </row>
    <row r="29" spans="1:12" s="364" customFormat="1">
      <c r="A29" s="370"/>
      <c r="B29" s="370"/>
      <c r="C29" s="370"/>
      <c r="D29" s="370" t="s">
        <v>1525</v>
      </c>
      <c r="E29" s="370" t="s">
        <v>1526</v>
      </c>
      <c r="F29" s="370" t="s">
        <v>1527</v>
      </c>
      <c r="G29" s="371" t="s">
        <v>1528</v>
      </c>
      <c r="H29" s="370" t="s">
        <v>1529</v>
      </c>
      <c r="I29" s="372" t="s">
        <v>1530</v>
      </c>
      <c r="J29" s="370" t="s">
        <v>1531</v>
      </c>
      <c r="K29" s="370" t="s">
        <v>1532</v>
      </c>
      <c r="L29" s="370" t="s">
        <v>1533</v>
      </c>
    </row>
    <row r="30" spans="1:12" s="364" customFormat="1">
      <c r="A30" s="2383" t="s">
        <v>1534</v>
      </c>
      <c r="B30" s="373" t="s">
        <v>1535</v>
      </c>
      <c r="C30" s="373" t="s">
        <v>2278</v>
      </c>
      <c r="D30" s="374">
        <v>120</v>
      </c>
      <c r="E30" s="374">
        <v>1.3</v>
      </c>
      <c r="F30" s="375">
        <v>1</v>
      </c>
      <c r="G30" s="374">
        <f>IF(D30&gt;180,0.68,1)</f>
        <v>1</v>
      </c>
      <c r="H30" s="1693">
        <v>1.25</v>
      </c>
      <c r="I30" s="374">
        <v>1</v>
      </c>
      <c r="J30" s="374">
        <v>1.6135695353739901</v>
      </c>
      <c r="K30" s="374"/>
      <c r="L30" s="1697">
        <f>E30*F30*G30*J30</f>
        <v>2.0976403959861871</v>
      </c>
    </row>
    <row r="31" spans="1:12" s="364" customFormat="1">
      <c r="A31" s="2384"/>
      <c r="B31" s="376" t="s">
        <v>1536</v>
      </c>
      <c r="C31" s="376" t="s">
        <v>1498</v>
      </c>
      <c r="D31" s="377">
        <v>120</v>
      </c>
      <c r="E31" s="377">
        <v>1.3</v>
      </c>
      <c r="F31" s="378">
        <v>0.6</v>
      </c>
      <c r="G31" s="377">
        <f t="shared" ref="G31:G37" si="3">IF(D31&gt;180,0.68,1)</f>
        <v>1</v>
      </c>
      <c r="H31" s="1694">
        <v>1.25</v>
      </c>
      <c r="I31" s="377">
        <v>1</v>
      </c>
      <c r="J31" s="377">
        <v>1.6135695353739901</v>
      </c>
      <c r="K31" s="377"/>
      <c r="L31" s="1698">
        <f>E31*F31*G31*J31</f>
        <v>1.2585842375917122</v>
      </c>
    </row>
    <row r="32" spans="1:12" s="364" customFormat="1">
      <c r="A32" s="2385"/>
      <c r="B32" s="379" t="s">
        <v>1537</v>
      </c>
      <c r="C32" s="379" t="s">
        <v>1499</v>
      </c>
      <c r="D32" s="380">
        <v>120</v>
      </c>
      <c r="E32" s="380">
        <v>1.3</v>
      </c>
      <c r="F32" s="381">
        <v>0.52</v>
      </c>
      <c r="G32" s="380">
        <f t="shared" si="3"/>
        <v>1</v>
      </c>
      <c r="H32" s="1695">
        <v>1.25</v>
      </c>
      <c r="I32" s="380">
        <v>1</v>
      </c>
      <c r="J32" s="380">
        <v>1.6135695353739901</v>
      </c>
      <c r="K32" s="380"/>
      <c r="L32" s="1699">
        <f t="shared" ref="L32:L37" si="4">E32*F32*G32*J32</f>
        <v>1.0907730059128173</v>
      </c>
    </row>
    <row r="33" spans="1:16" s="364" customFormat="1">
      <c r="A33" s="2383" t="s">
        <v>1538</v>
      </c>
      <c r="B33" s="373" t="s">
        <v>1539</v>
      </c>
      <c r="C33" s="373" t="s">
        <v>1500</v>
      </c>
      <c r="D33" s="374">
        <v>120</v>
      </c>
      <c r="E33" s="374">
        <v>1.3</v>
      </c>
      <c r="F33" s="375">
        <v>0.28000000000000003</v>
      </c>
      <c r="G33" s="374">
        <f t="shared" si="3"/>
        <v>1</v>
      </c>
      <c r="H33" s="1693">
        <v>1.25</v>
      </c>
      <c r="I33" s="374">
        <v>1</v>
      </c>
      <c r="J33" s="374">
        <v>1.6135695353739916</v>
      </c>
      <c r="K33" s="374"/>
      <c r="L33" s="1697">
        <f t="shared" si="4"/>
        <v>0.587339310876133</v>
      </c>
    </row>
    <row r="34" spans="1:16" s="364" customFormat="1">
      <c r="A34" s="2384"/>
      <c r="B34" s="376" t="s">
        <v>1540</v>
      </c>
      <c r="C34" s="376" t="s">
        <v>2280</v>
      </c>
      <c r="D34" s="377">
        <v>120</v>
      </c>
      <c r="E34" s="377">
        <v>1.3</v>
      </c>
      <c r="F34" s="378">
        <v>0.25</v>
      </c>
      <c r="G34" s="377">
        <f t="shared" si="3"/>
        <v>1</v>
      </c>
      <c r="H34" s="1694">
        <v>1.25</v>
      </c>
      <c r="I34" s="377">
        <v>1</v>
      </c>
      <c r="J34" s="377">
        <v>1.6135695353739901</v>
      </c>
      <c r="K34" s="377"/>
      <c r="L34" s="1698">
        <f t="shared" si="4"/>
        <v>0.52441009899654678</v>
      </c>
    </row>
    <row r="35" spans="1:16" s="364" customFormat="1">
      <c r="A35" s="2385"/>
      <c r="B35" s="379" t="s">
        <v>1541</v>
      </c>
      <c r="C35" s="379" t="s">
        <v>1501</v>
      </c>
      <c r="D35" s="380">
        <v>164</v>
      </c>
      <c r="E35" s="380">
        <v>1.3</v>
      </c>
      <c r="F35" s="381">
        <v>0.31</v>
      </c>
      <c r="G35" s="380">
        <f t="shared" si="3"/>
        <v>1</v>
      </c>
      <c r="H35" s="1695">
        <v>1.25</v>
      </c>
      <c r="I35" s="380">
        <v>1</v>
      </c>
      <c r="J35" s="380">
        <v>1.6135695353739916</v>
      </c>
      <c r="K35" s="380"/>
      <c r="L35" s="1699">
        <f t="shared" si="4"/>
        <v>0.65026852275571867</v>
      </c>
    </row>
    <row r="36" spans="1:16" s="364" customFormat="1">
      <c r="A36" s="382" t="s">
        <v>1542</v>
      </c>
      <c r="B36" s="383" t="s">
        <v>1543</v>
      </c>
      <c r="C36" s="383" t="s">
        <v>1503</v>
      </c>
      <c r="D36" s="384">
        <v>136</v>
      </c>
      <c r="E36" s="384">
        <v>1.3</v>
      </c>
      <c r="F36" s="385">
        <v>0</v>
      </c>
      <c r="G36" s="384">
        <f t="shared" si="3"/>
        <v>1</v>
      </c>
      <c r="H36" s="1696">
        <v>1.25</v>
      </c>
      <c r="I36" s="384">
        <v>1</v>
      </c>
      <c r="J36" s="384">
        <v>1.6135695353739916</v>
      </c>
      <c r="K36" s="384"/>
      <c r="L36" s="1698">
        <f t="shared" si="4"/>
        <v>0</v>
      </c>
    </row>
    <row r="37" spans="1:16" s="364" customFormat="1">
      <c r="A37" s="386" t="s">
        <v>1544</v>
      </c>
      <c r="B37" s="383" t="s">
        <v>1536</v>
      </c>
      <c r="C37" s="383" t="s">
        <v>1502</v>
      </c>
      <c r="D37" s="384">
        <v>120</v>
      </c>
      <c r="E37" s="384">
        <v>1.3</v>
      </c>
      <c r="F37" s="385">
        <v>0.6</v>
      </c>
      <c r="G37" s="384">
        <f t="shared" si="3"/>
        <v>1</v>
      </c>
      <c r="H37" s="1696">
        <v>1.25</v>
      </c>
      <c r="I37" s="384">
        <v>1</v>
      </c>
      <c r="J37" s="384">
        <v>1.6135695353739916</v>
      </c>
      <c r="K37" s="384"/>
      <c r="L37" s="1700">
        <f t="shared" si="4"/>
        <v>1.2585842375917136</v>
      </c>
    </row>
    <row r="38" spans="1:16">
      <c r="A38" s="364" t="s">
        <v>1545</v>
      </c>
    </row>
    <row r="39" spans="1:16">
      <c r="A39" s="2386" t="s">
        <v>1546</v>
      </c>
      <c r="B39" s="2386"/>
      <c r="C39" s="2386"/>
      <c r="D39" s="2386"/>
      <c r="E39" s="2386"/>
      <c r="F39" s="2386"/>
      <c r="G39" s="2386"/>
      <c r="H39" s="2386"/>
      <c r="I39" s="2386"/>
      <c r="J39" s="2386"/>
      <c r="K39" s="2386"/>
      <c r="L39" s="2386"/>
      <c r="M39" s="2386"/>
      <c r="N39" s="2386"/>
      <c r="O39" s="2386"/>
      <c r="P39" s="2386"/>
    </row>
    <row r="40" spans="1:16">
      <c r="A40" s="364"/>
      <c r="B40" s="364"/>
      <c r="C40" s="364"/>
      <c r="D40" s="364"/>
      <c r="E40" s="365"/>
      <c r="F40" s="366"/>
      <c r="G40" s="367"/>
      <c r="H40" s="364"/>
      <c r="I40" s="364"/>
      <c r="J40" s="364"/>
      <c r="K40" s="364"/>
      <c r="L40" s="364"/>
      <c r="M40" s="364"/>
      <c r="N40" s="364"/>
      <c r="O40" s="364"/>
      <c r="P40" s="364"/>
    </row>
    <row r="41" spans="1:16">
      <c r="A41" s="364" t="s">
        <v>1547</v>
      </c>
      <c r="B41" s="2380" t="s">
        <v>1548</v>
      </c>
      <c r="C41" s="2380"/>
      <c r="D41" s="2380"/>
      <c r="E41" s="2380"/>
      <c r="F41" s="2380"/>
      <c r="G41" s="2380"/>
      <c r="H41" s="2380"/>
      <c r="I41" s="2380"/>
      <c r="J41" s="2380"/>
      <c r="K41" s="2380"/>
      <c r="L41" s="2380"/>
      <c r="M41" s="2380"/>
      <c r="N41" s="2380"/>
      <c r="O41" s="2380"/>
      <c r="P41" s="2380"/>
    </row>
    <row r="42" spans="1:16">
      <c r="A42" s="364"/>
      <c r="B42" s="2380" t="s">
        <v>1549</v>
      </c>
      <c r="C42" s="2380"/>
      <c r="D42" s="2380"/>
      <c r="E42" s="2380"/>
      <c r="F42" s="2380"/>
      <c r="G42" s="2380"/>
      <c r="H42" s="2380"/>
      <c r="I42" s="2380"/>
      <c r="J42" s="2380"/>
      <c r="K42" s="2380"/>
      <c r="L42" s="2380"/>
      <c r="M42" s="2380"/>
      <c r="N42" s="2380"/>
      <c r="O42" s="2380"/>
      <c r="P42" s="2380"/>
    </row>
    <row r="43" spans="1:16">
      <c r="A43" s="387"/>
      <c r="B43" s="2380" t="s">
        <v>1550</v>
      </c>
      <c r="C43" s="2380"/>
      <c r="D43" s="2380"/>
      <c r="E43" s="2380"/>
      <c r="F43" s="2380"/>
      <c r="G43" s="2380"/>
      <c r="H43" s="2380"/>
      <c r="I43" s="2380"/>
      <c r="J43" s="2380"/>
      <c r="K43" s="2380"/>
      <c r="L43" s="2380"/>
      <c r="M43" s="2380"/>
      <c r="N43" s="2380"/>
      <c r="O43" s="2380"/>
      <c r="P43" s="2380"/>
    </row>
    <row r="44" spans="1:16">
      <c r="B44" s="363" t="s">
        <v>2288</v>
      </c>
    </row>
    <row r="45" spans="1:16" ht="66">
      <c r="B45" s="1333" t="s">
        <v>2289</v>
      </c>
    </row>
  </sheetData>
  <mergeCells count="15">
    <mergeCell ref="A24:C24"/>
    <mergeCell ref="B42:P42"/>
    <mergeCell ref="B43:P43"/>
    <mergeCell ref="K26:K27"/>
    <mergeCell ref="L26:L27"/>
    <mergeCell ref="A30:A32"/>
    <mergeCell ref="A33:A35"/>
    <mergeCell ref="A39:P39"/>
    <mergeCell ref="B41:P41"/>
    <mergeCell ref="A26:A27"/>
    <mergeCell ref="B26:B27"/>
    <mergeCell ref="C26:C27"/>
    <mergeCell ref="D26:D27"/>
    <mergeCell ref="E26:E27"/>
    <mergeCell ref="J26:J27"/>
  </mergeCells>
  <conditionalFormatting sqref="D30:L37">
    <cfRule type="containsText" dxfId="4" priority="1" operator="containsText" text="n/a">
      <formula>NOT(ISERROR(SEARCH("n/a",D30)))</formula>
    </cfRule>
    <cfRule type="cellIs" dxfId="3" priority="2" operator="equal">
      <formula>"null"</formula>
    </cfRule>
    <cfRule type="containsText" dxfId="2" priority="3" operator="containsText" text="&quot;&quot;">
      <formula>NOT(ISERROR(SEARCH("""""",D30)))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C4EE9BD5-6A5E-419B-83DB-2842E59C7504}">
          <x14:formula1>
            <xm:f>'V.1 Livestock'!$T$11:$T$14</xm:f>
          </x14:formula1>
          <xm:sqref>C11:C23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AO63"/>
  <sheetViews>
    <sheetView zoomScale="70" zoomScaleNormal="70" workbookViewId="0">
      <selection activeCell="A30" sqref="A30:L30"/>
    </sheetView>
  </sheetViews>
  <sheetFormatPr defaultColWidth="9.33203125" defaultRowHeight="13.2"/>
  <cols>
    <col min="1" max="2" width="15.44140625" style="99" customWidth="1"/>
    <col min="3" max="3" width="20.44140625" style="99" customWidth="1"/>
    <col min="4" max="4" width="12.44140625" style="99" customWidth="1"/>
    <col min="5" max="5" width="21.5546875" style="99" customWidth="1"/>
    <col min="6" max="6" width="20.44140625" style="99" customWidth="1"/>
    <col min="7" max="7" width="15.6640625" style="99" customWidth="1"/>
    <col min="8" max="8" width="10.44140625" style="99" customWidth="1"/>
    <col min="9" max="12" width="18.44140625" style="99" customWidth="1"/>
    <col min="13" max="14" width="12.44140625" style="99" customWidth="1"/>
    <col min="15" max="15" width="14.5546875" style="99" customWidth="1"/>
    <col min="16" max="16" width="14.44140625" style="99" customWidth="1"/>
    <col min="17" max="16384" width="9.33203125" style="99"/>
  </cols>
  <sheetData>
    <row r="1" spans="1:16" s="205" customFormat="1">
      <c r="A1" s="1474" t="s">
        <v>1147</v>
      </c>
      <c r="B1" s="1474"/>
      <c r="C1" s="1474"/>
      <c r="D1" s="1474"/>
      <c r="E1" s="1474"/>
      <c r="F1" s="1474"/>
      <c r="G1" s="1474"/>
      <c r="H1" s="1474"/>
      <c r="I1" s="1474"/>
      <c r="J1" s="1474"/>
      <c r="K1" s="1474"/>
      <c r="L1" s="1474"/>
      <c r="M1" s="1474"/>
      <c r="N1" s="1474"/>
      <c r="O1" s="1474"/>
    </row>
    <row r="2" spans="1:16" s="205" customFormat="1" ht="14.4">
      <c r="A2" s="1478" t="s">
        <v>2459</v>
      </c>
      <c r="B2" s="1479"/>
      <c r="C2" s="1479"/>
      <c r="D2" s="1479"/>
      <c r="E2" s="1479"/>
      <c r="F2" s="1479"/>
      <c r="G2" s="1479"/>
      <c r="H2" s="1479"/>
      <c r="I2" s="1479"/>
      <c r="J2" s="1479"/>
      <c r="K2" s="1479"/>
      <c r="L2" s="1479"/>
      <c r="M2" s="1479"/>
      <c r="N2" s="1479"/>
      <c r="O2" s="1479"/>
    </row>
    <row r="3" spans="1:16">
      <c r="A3" s="1476" t="s">
        <v>1551</v>
      </c>
      <c r="B3" s="1477"/>
      <c r="C3" s="1477"/>
      <c r="D3" s="1477"/>
      <c r="E3" s="1477"/>
      <c r="F3" s="1477"/>
      <c r="G3" s="1477"/>
      <c r="H3" s="1477"/>
      <c r="I3" s="1477"/>
      <c r="J3" s="1477"/>
      <c r="K3" s="1477"/>
      <c r="L3" s="1477"/>
      <c r="M3" s="1477"/>
      <c r="N3" s="1477"/>
      <c r="O3" s="1477"/>
    </row>
    <row r="5" spans="1:16">
      <c r="A5" s="120" t="s">
        <v>254</v>
      </c>
      <c r="B5" s="1413">
        <f>'City information'!$C$4</f>
        <v>0</v>
      </c>
      <c r="C5" s="120"/>
      <c r="D5" s="120"/>
      <c r="E5" s="120"/>
      <c r="F5" s="120"/>
      <c r="G5" s="120"/>
      <c r="H5" s="120"/>
      <c r="I5" s="120"/>
      <c r="J5" s="120"/>
      <c r="K5" s="120"/>
      <c r="L5" s="120"/>
      <c r="M5" s="120"/>
      <c r="N5" s="120"/>
      <c r="O5" s="120"/>
    </row>
    <row r="6" spans="1:16">
      <c r="A6" s="120" t="s">
        <v>140</v>
      </c>
      <c r="B6" s="1413">
        <f>'City information'!$C$5</f>
        <v>2562</v>
      </c>
      <c r="C6" s="120"/>
      <c r="D6" s="120"/>
      <c r="E6" s="120"/>
      <c r="F6" s="120"/>
      <c r="G6" s="120"/>
      <c r="H6" s="120"/>
      <c r="I6" s="120"/>
      <c r="J6" s="120"/>
      <c r="K6" s="120"/>
      <c r="L6" s="120"/>
      <c r="M6" s="120"/>
      <c r="N6" s="120"/>
      <c r="O6" s="120"/>
    </row>
    <row r="8" spans="1:16">
      <c r="A8" s="111" t="s">
        <v>447</v>
      </c>
      <c r="B8" s="112"/>
      <c r="C8" s="111"/>
      <c r="D8" s="111"/>
      <c r="E8" s="111"/>
      <c r="F8" s="111"/>
      <c r="G8" s="111"/>
      <c r="H8" s="111"/>
      <c r="I8" s="111"/>
      <c r="J8" s="111"/>
      <c r="K8" s="111"/>
      <c r="L8" s="111"/>
      <c r="M8" s="111"/>
      <c r="N8" s="111"/>
      <c r="O8" s="111"/>
    </row>
    <row r="9" spans="1:16">
      <c r="B9" s="113"/>
    </row>
    <row r="10" spans="1:16">
      <c r="A10" s="500" t="s">
        <v>2102</v>
      </c>
      <c r="B10" s="500"/>
      <c r="C10" s="500"/>
      <c r="D10" s="500"/>
      <c r="E10" s="500"/>
      <c r="F10" s="500"/>
      <c r="G10" s="500"/>
      <c r="H10" s="500"/>
      <c r="I10" s="500"/>
      <c r="J10" s="500"/>
      <c r="K10" s="500"/>
      <c r="L10" s="500"/>
      <c r="M10" s="500"/>
      <c r="N10" s="500"/>
      <c r="O10" s="500"/>
    </row>
    <row r="11" spans="1:16" ht="18" customHeight="1">
      <c r="A11" s="662" t="s">
        <v>1553</v>
      </c>
      <c r="B11" s="114"/>
      <c r="C11" s="1251"/>
      <c r="D11" s="1733" t="s">
        <v>1494</v>
      </c>
      <c r="E11" s="1730" t="s">
        <v>2433</v>
      </c>
      <c r="F11" s="1731">
        <f>O29</f>
        <v>0</v>
      </c>
      <c r="G11" s="1732" t="s">
        <v>2538</v>
      </c>
    </row>
    <row r="12" spans="1:16" ht="14.4">
      <c r="A12" s="113"/>
      <c r="C12" s="407"/>
      <c r="D12" s="290"/>
      <c r="E12" s="407"/>
      <c r="N12" s="1620" t="s">
        <v>444</v>
      </c>
      <c r="O12" s="1620" t="s">
        <v>445</v>
      </c>
    </row>
    <row r="13" spans="1:16" ht="14.1" customHeight="1" thickBot="1">
      <c r="A13" s="113" t="s">
        <v>1552</v>
      </c>
      <c r="B13" s="407"/>
      <c r="C13" s="407"/>
      <c r="D13" s="407"/>
      <c r="E13" s="407"/>
      <c r="M13" s="863" t="s">
        <v>438</v>
      </c>
      <c r="N13" s="1467">
        <f>GPC!$F$85</f>
        <v>28</v>
      </c>
      <c r="O13" s="1467">
        <f>GPC!$F$87</f>
        <v>265</v>
      </c>
    </row>
    <row r="14" spans="1:16" s="114" customFormat="1" ht="28.95" customHeight="1" thickBot="1">
      <c r="A14" s="2423" t="s">
        <v>1183</v>
      </c>
      <c r="B14" s="2420"/>
      <c r="C14" s="1461" t="s">
        <v>1184</v>
      </c>
      <c r="D14" s="2420" t="s">
        <v>1554</v>
      </c>
      <c r="E14" s="2420"/>
      <c r="F14" s="2420"/>
      <c r="G14" s="2420"/>
      <c r="H14" s="2420"/>
      <c r="I14" s="2420"/>
      <c r="J14" s="2420"/>
      <c r="K14" s="2420"/>
      <c r="L14" s="2267"/>
      <c r="M14" s="2412" t="s">
        <v>2537</v>
      </c>
      <c r="N14" s="2413"/>
      <c r="O14" s="2413"/>
      <c r="P14" s="1706"/>
    </row>
    <row r="15" spans="1:16" ht="28.2" thickBot="1">
      <c r="A15" s="2355" t="s">
        <v>1187</v>
      </c>
      <c r="B15" s="2269"/>
      <c r="C15" s="2254" t="s">
        <v>1555</v>
      </c>
      <c r="D15" s="957" t="s">
        <v>1556</v>
      </c>
      <c r="E15" s="957" t="s">
        <v>1557</v>
      </c>
      <c r="F15" s="957" t="s">
        <v>1558</v>
      </c>
      <c r="G15" s="2424" t="s">
        <v>1559</v>
      </c>
      <c r="H15" s="2425"/>
      <c r="I15" s="957" t="s">
        <v>1560</v>
      </c>
      <c r="J15" s="957" t="s">
        <v>1561</v>
      </c>
      <c r="K15" s="957" t="s">
        <v>1562</v>
      </c>
      <c r="L15" s="957" t="s">
        <v>1563</v>
      </c>
      <c r="M15" s="2428" t="s">
        <v>444</v>
      </c>
      <c r="N15" s="2428" t="s">
        <v>445</v>
      </c>
      <c r="O15" s="2433" t="s">
        <v>2448</v>
      </c>
      <c r="P15" s="1707"/>
    </row>
    <row r="16" spans="1:16">
      <c r="A16" s="2253" t="s">
        <v>1195</v>
      </c>
      <c r="B16" s="2253" t="s">
        <v>1196</v>
      </c>
      <c r="C16" s="2254"/>
      <c r="D16" s="2253" t="s">
        <v>1197</v>
      </c>
      <c r="E16" s="866" t="s">
        <v>1564</v>
      </c>
      <c r="F16" s="2253" t="s">
        <v>1358</v>
      </c>
      <c r="G16" s="2122" t="s">
        <v>1565</v>
      </c>
      <c r="H16" s="2426"/>
      <c r="I16" s="2253" t="s">
        <v>1566</v>
      </c>
      <c r="J16" s="2253" t="s">
        <v>1567</v>
      </c>
      <c r="K16" s="2253" t="s">
        <v>1568</v>
      </c>
      <c r="L16" s="2253" t="s">
        <v>1569</v>
      </c>
      <c r="M16" s="2429"/>
      <c r="N16" s="2429"/>
      <c r="O16" s="2431"/>
      <c r="P16" s="1707"/>
    </row>
    <row r="17" spans="1:16" ht="15" thickBot="1">
      <c r="A17" s="2254"/>
      <c r="B17" s="2254"/>
      <c r="C17" s="2254"/>
      <c r="D17" s="2255"/>
      <c r="E17" s="958" t="s">
        <v>1359</v>
      </c>
      <c r="F17" s="2255"/>
      <c r="G17" s="2120" t="s">
        <v>1570</v>
      </c>
      <c r="H17" s="2365"/>
      <c r="I17" s="2255"/>
      <c r="J17" s="2255"/>
      <c r="K17" s="2255"/>
      <c r="L17" s="2255"/>
      <c r="M17" s="2429"/>
      <c r="N17" s="2429"/>
      <c r="O17" s="2431"/>
      <c r="P17" s="1707"/>
    </row>
    <row r="18" spans="1:16" ht="14.4">
      <c r="A18" s="2254"/>
      <c r="B18" s="2254"/>
      <c r="C18" s="2254"/>
      <c r="D18" s="2253"/>
      <c r="E18" s="2253" t="s">
        <v>1571</v>
      </c>
      <c r="F18" s="2253" t="s">
        <v>1572</v>
      </c>
      <c r="G18" s="2122" t="s">
        <v>1573</v>
      </c>
      <c r="H18" s="2426"/>
      <c r="I18" s="866" t="s">
        <v>1574</v>
      </c>
      <c r="J18" s="866" t="s">
        <v>1575</v>
      </c>
      <c r="K18" s="866" t="s">
        <v>1576</v>
      </c>
      <c r="L18" s="866" t="s">
        <v>1577</v>
      </c>
      <c r="M18" s="2429"/>
      <c r="N18" s="2429"/>
      <c r="O18" s="2431"/>
      <c r="P18" s="1707"/>
    </row>
    <row r="19" spans="1:16" ht="15.6" thickBot="1">
      <c r="A19" s="2254"/>
      <c r="B19" s="2254"/>
      <c r="C19" s="2254"/>
      <c r="D19" s="2255"/>
      <c r="E19" s="2255"/>
      <c r="F19" s="2255"/>
      <c r="G19" s="2120"/>
      <c r="H19" s="2365"/>
      <c r="I19" s="958" t="s">
        <v>1578</v>
      </c>
      <c r="J19" s="958" t="s">
        <v>1578</v>
      </c>
      <c r="K19" s="958" t="s">
        <v>1578</v>
      </c>
      <c r="L19" s="958" t="s">
        <v>1578</v>
      </c>
      <c r="M19" s="2429"/>
      <c r="N19" s="2429"/>
      <c r="O19" s="2431"/>
      <c r="P19" s="1707"/>
    </row>
    <row r="20" spans="1:16" ht="15" thickBot="1">
      <c r="A20" s="2278"/>
      <c r="B20" s="2278"/>
      <c r="C20" s="2278"/>
      <c r="D20" s="393" t="s">
        <v>1213</v>
      </c>
      <c r="E20" s="393" t="s">
        <v>1579</v>
      </c>
      <c r="F20" s="393" t="s">
        <v>1580</v>
      </c>
      <c r="G20" s="2418" t="s">
        <v>1581</v>
      </c>
      <c r="H20" s="2419"/>
      <c r="I20" s="393" t="s">
        <v>1582</v>
      </c>
      <c r="J20" s="393" t="s">
        <v>1583</v>
      </c>
      <c r="K20" s="393" t="s">
        <v>1584</v>
      </c>
      <c r="L20" s="393" t="s">
        <v>1585</v>
      </c>
      <c r="M20" s="2429"/>
      <c r="N20" s="2429"/>
      <c r="O20" s="2432"/>
      <c r="P20" s="1707"/>
    </row>
    <row r="21" spans="1:16" ht="15.6" thickTop="1" thickBot="1">
      <c r="A21" s="2264" t="s">
        <v>1219</v>
      </c>
      <c r="B21" s="2264" t="s">
        <v>1219</v>
      </c>
      <c r="C21" s="2264" t="s">
        <v>1220</v>
      </c>
      <c r="D21" s="2390">
        <f>C11/6.25</f>
        <v>0</v>
      </c>
      <c r="E21" s="2264">
        <v>119.6</v>
      </c>
      <c r="F21" s="2264">
        <v>0.36</v>
      </c>
      <c r="G21" s="995" t="s">
        <v>1586</v>
      </c>
      <c r="H21" s="996">
        <v>6.8</v>
      </c>
      <c r="I21" s="960">
        <f>D21*E21*F21*H21*10^-3</f>
        <v>0</v>
      </c>
      <c r="J21" s="997"/>
      <c r="K21" s="997"/>
      <c r="L21" s="997"/>
      <c r="M21" s="396">
        <f>I21*$N$13</f>
        <v>0</v>
      </c>
      <c r="N21" s="397"/>
      <c r="O21" s="749"/>
    </row>
    <row r="22" spans="1:16" ht="13.8" thickBot="1">
      <c r="A22" s="2254"/>
      <c r="B22" s="2254"/>
      <c r="C22" s="2254"/>
      <c r="D22" s="2391"/>
      <c r="E22" s="2254"/>
      <c r="F22" s="2254"/>
      <c r="G22" s="995" t="s">
        <v>600</v>
      </c>
      <c r="H22" s="996">
        <v>104</v>
      </c>
      <c r="I22" s="997"/>
      <c r="J22" s="960">
        <f>D21*E21*F21*H22*10^-3</f>
        <v>0</v>
      </c>
      <c r="K22" s="997"/>
      <c r="L22" s="997"/>
      <c r="M22" s="395"/>
      <c r="N22" s="997"/>
      <c r="O22" s="750"/>
      <c r="P22" s="394"/>
    </row>
    <row r="23" spans="1:16" ht="15" thickBot="1">
      <c r="A23" s="2254"/>
      <c r="B23" s="2254"/>
      <c r="C23" s="2254"/>
      <c r="D23" s="2391"/>
      <c r="E23" s="2254"/>
      <c r="F23" s="2254"/>
      <c r="G23" s="995" t="s">
        <v>1587</v>
      </c>
      <c r="H23" s="996">
        <v>0.2</v>
      </c>
      <c r="I23" s="997"/>
      <c r="J23" s="997"/>
      <c r="K23" s="960">
        <f>D21*E21*F21*H23*10^-3</f>
        <v>0</v>
      </c>
      <c r="L23" s="997"/>
      <c r="M23" s="395"/>
      <c r="N23" s="960">
        <f>K23*$O$13</f>
        <v>0</v>
      </c>
      <c r="O23" s="750"/>
    </row>
    <row r="24" spans="1:16" ht="15" thickBot="1">
      <c r="A24" s="2254"/>
      <c r="B24" s="2254"/>
      <c r="C24" s="2255"/>
      <c r="D24" s="2392"/>
      <c r="E24" s="2255"/>
      <c r="F24" s="2255"/>
      <c r="G24" s="399" t="s">
        <v>1588</v>
      </c>
      <c r="H24" s="400">
        <v>1.6</v>
      </c>
      <c r="I24" s="401"/>
      <c r="J24" s="401"/>
      <c r="K24" s="401"/>
      <c r="L24" s="402">
        <f>D21*E21*F21*H24*10^-3</f>
        <v>0</v>
      </c>
      <c r="M24" s="403"/>
      <c r="N24" s="401"/>
      <c r="O24" s="751"/>
    </row>
    <row r="25" spans="1:16" ht="14.4" thickBot="1">
      <c r="A25" s="2414" t="s">
        <v>250</v>
      </c>
      <c r="B25" s="2398"/>
      <c r="C25" s="2415"/>
      <c r="D25" s="2409">
        <f>SUM(D21)</f>
        <v>0</v>
      </c>
      <c r="E25" s="2406"/>
      <c r="F25" s="2406"/>
      <c r="G25" s="2417" t="s">
        <v>1586</v>
      </c>
      <c r="H25" s="2389"/>
      <c r="I25" s="404">
        <f>SUM(I21)</f>
        <v>0</v>
      </c>
      <c r="J25" s="405"/>
      <c r="K25" s="405"/>
      <c r="L25" s="405"/>
      <c r="M25" s="406">
        <f>M21</f>
        <v>0</v>
      </c>
      <c r="N25" s="405"/>
      <c r="O25" s="749">
        <f>SUM(M25:N25)</f>
        <v>0</v>
      </c>
    </row>
    <row r="26" spans="1:16" ht="13.8" thickBot="1">
      <c r="A26" s="2400"/>
      <c r="B26" s="2401"/>
      <c r="C26" s="2402"/>
      <c r="D26" s="2410"/>
      <c r="E26" s="2416"/>
      <c r="F26" s="2407"/>
      <c r="G26" s="2417" t="s">
        <v>600</v>
      </c>
      <c r="H26" s="2389"/>
      <c r="I26" s="998"/>
      <c r="J26" s="999">
        <f>J22</f>
        <v>0</v>
      </c>
      <c r="K26" s="998"/>
      <c r="L26" s="998"/>
      <c r="M26" s="398"/>
      <c r="N26" s="998"/>
      <c r="O26" s="750">
        <f>SUM(M26:N26)</f>
        <v>0</v>
      </c>
    </row>
    <row r="27" spans="1:16" ht="14.4" thickBot="1">
      <c r="A27" s="2400"/>
      <c r="B27" s="2401"/>
      <c r="C27" s="2402"/>
      <c r="D27" s="2410"/>
      <c r="E27" s="2407"/>
      <c r="F27" s="2407"/>
      <c r="G27" s="2417" t="s">
        <v>1587</v>
      </c>
      <c r="H27" s="2389"/>
      <c r="I27" s="998"/>
      <c r="J27" s="998"/>
      <c r="K27" s="999">
        <f>K23</f>
        <v>0</v>
      </c>
      <c r="L27" s="998"/>
      <c r="M27" s="398"/>
      <c r="N27" s="999">
        <f>N23</f>
        <v>0</v>
      </c>
      <c r="O27" s="750">
        <f>SUM(M27:N27)</f>
        <v>0</v>
      </c>
    </row>
    <row r="28" spans="1:16" ht="14.4" thickBot="1">
      <c r="A28" s="2403"/>
      <c r="B28" s="2404"/>
      <c r="C28" s="2405"/>
      <c r="D28" s="2411"/>
      <c r="E28" s="2408"/>
      <c r="F28" s="2408"/>
      <c r="G28" s="2417" t="s">
        <v>1588</v>
      </c>
      <c r="H28" s="2389"/>
      <c r="I28" s="998"/>
      <c r="J28" s="998"/>
      <c r="K28" s="998"/>
      <c r="L28" s="999">
        <f>L24</f>
        <v>0</v>
      </c>
      <c r="M28" s="398"/>
      <c r="N28" s="998"/>
      <c r="O28" s="923">
        <f>SUM(M28:N28)</f>
        <v>0</v>
      </c>
    </row>
    <row r="29" spans="1:16" ht="15.6" thickBot="1">
      <c r="A29" s="2369" t="s">
        <v>1589</v>
      </c>
      <c r="B29" s="2369"/>
      <c r="C29" s="2369"/>
      <c r="D29" s="2369"/>
      <c r="E29" s="2369"/>
      <c r="F29" s="2369"/>
      <c r="G29" s="2369"/>
      <c r="H29" s="2369"/>
      <c r="I29" s="2369"/>
      <c r="J29" s="2369"/>
      <c r="K29" s="2369"/>
      <c r="L29" s="2369"/>
      <c r="O29" s="1345">
        <f>SUM(O25:O28)</f>
        <v>0</v>
      </c>
    </row>
    <row r="30" spans="1:16" ht="15">
      <c r="A30" s="2369" t="s">
        <v>1590</v>
      </c>
      <c r="B30" s="2369"/>
      <c r="C30" s="2369"/>
      <c r="D30" s="2369"/>
      <c r="E30" s="2369"/>
      <c r="F30" s="2369"/>
      <c r="G30" s="2369"/>
      <c r="H30" s="2369"/>
      <c r="I30" s="2369"/>
      <c r="J30" s="2369"/>
      <c r="K30" s="2369"/>
      <c r="L30" s="2369"/>
    </row>
    <row r="32" spans="1:16">
      <c r="A32" s="500" t="s">
        <v>2103</v>
      </c>
      <c r="B32" s="500"/>
      <c r="C32" s="500"/>
      <c r="D32" s="500"/>
      <c r="E32" s="500"/>
      <c r="F32" s="500"/>
      <c r="G32" s="500"/>
      <c r="H32" s="500"/>
      <c r="I32" s="500"/>
      <c r="J32" s="500"/>
      <c r="K32" s="500"/>
      <c r="L32" s="500"/>
      <c r="M32" s="500"/>
      <c r="N32" s="500"/>
      <c r="O32" s="500"/>
    </row>
    <row r="33" spans="1:41">
      <c r="A33" s="113"/>
    </row>
    <row r="34" spans="1:41">
      <c r="A34" s="113" t="s">
        <v>1592</v>
      </c>
      <c r="C34" s="1535"/>
      <c r="D34" s="1534" t="s">
        <v>1494</v>
      </c>
    </row>
    <row r="35" spans="1:41">
      <c r="A35" s="113" t="s">
        <v>1593</v>
      </c>
      <c r="C35" s="1535"/>
      <c r="D35" s="1534" t="s">
        <v>1494</v>
      </c>
    </row>
    <row r="36" spans="1:41">
      <c r="A36" s="113" t="s">
        <v>1964</v>
      </c>
      <c r="C36" s="1535"/>
      <c r="D36" s="1534" t="s">
        <v>1494</v>
      </c>
    </row>
    <row r="37" spans="1:41" ht="14.4">
      <c r="A37" s="2387" t="s">
        <v>250</v>
      </c>
      <c r="B37" s="2387"/>
      <c r="C37" s="1704">
        <f>SUM(C34:C36)</f>
        <v>0</v>
      </c>
      <c r="D37" s="1702" t="s">
        <v>1494</v>
      </c>
      <c r="E37" s="1703" t="s">
        <v>2433</v>
      </c>
      <c r="F37" s="1704">
        <f>O62</f>
        <v>0</v>
      </c>
      <c r="G37" s="1667" t="s">
        <v>2538</v>
      </c>
    </row>
    <row r="38" spans="1:41" s="388" customFormat="1" ht="14.1" customHeight="1" thickBot="1">
      <c r="A38" s="113" t="s">
        <v>1591</v>
      </c>
      <c r="B38" s="407"/>
      <c r="C38" s="407"/>
      <c r="D38" s="407"/>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row>
    <row r="39" spans="1:41" ht="30.6" customHeight="1" thickBot="1">
      <c r="A39" s="2266" t="s">
        <v>1183</v>
      </c>
      <c r="B39" s="2267"/>
      <c r="C39" s="1705" t="s">
        <v>1184</v>
      </c>
      <c r="D39" s="2266" t="s">
        <v>1554</v>
      </c>
      <c r="E39" s="2420"/>
      <c r="F39" s="2420"/>
      <c r="G39" s="2420"/>
      <c r="H39" s="2420"/>
      <c r="I39" s="2420"/>
      <c r="J39" s="2420"/>
      <c r="K39" s="2420"/>
      <c r="L39" s="2421"/>
      <c r="M39" s="2412" t="s">
        <v>2537</v>
      </c>
      <c r="N39" s="2413"/>
      <c r="O39" s="2427"/>
    </row>
    <row r="40" spans="1:41" ht="28.35" customHeight="1" thickBot="1">
      <c r="A40" s="2268" t="s">
        <v>1187</v>
      </c>
      <c r="B40" s="2269"/>
      <c r="C40" s="2396" t="s">
        <v>1555</v>
      </c>
      <c r="D40" s="957" t="s">
        <v>1556</v>
      </c>
      <c r="E40" s="957" t="s">
        <v>1557</v>
      </c>
      <c r="F40" s="957" t="s">
        <v>1594</v>
      </c>
      <c r="G40" s="2291" t="s">
        <v>1559</v>
      </c>
      <c r="H40" s="2425"/>
      <c r="I40" s="957" t="s">
        <v>1560</v>
      </c>
      <c r="J40" s="957" t="s">
        <v>1561</v>
      </c>
      <c r="K40" s="957" t="s">
        <v>1562</v>
      </c>
      <c r="L40" s="957" t="s">
        <v>1563</v>
      </c>
      <c r="M40" s="2428" t="s">
        <v>444</v>
      </c>
      <c r="N40" s="2428" t="s">
        <v>445</v>
      </c>
      <c r="O40" s="2430" t="s">
        <v>2448</v>
      </c>
    </row>
    <row r="41" spans="1:41" ht="13.5" customHeight="1">
      <c r="A41" s="2253" t="s">
        <v>1195</v>
      </c>
      <c r="B41" s="2253" t="s">
        <v>1196</v>
      </c>
      <c r="C41" s="2251"/>
      <c r="D41" s="2253" t="s">
        <v>1197</v>
      </c>
      <c r="E41" s="2253" t="s">
        <v>1595</v>
      </c>
      <c r="F41" s="2253" t="s">
        <v>1358</v>
      </c>
      <c r="G41" s="2422" t="s">
        <v>1565</v>
      </c>
      <c r="H41" s="2396"/>
      <c r="I41" s="2253" t="s">
        <v>1566</v>
      </c>
      <c r="J41" s="2253" t="s">
        <v>1567</v>
      </c>
      <c r="K41" s="2253" t="s">
        <v>1568</v>
      </c>
      <c r="L41" s="2253" t="s">
        <v>1569</v>
      </c>
      <c r="M41" s="2429"/>
      <c r="N41" s="2429"/>
      <c r="O41" s="2431"/>
    </row>
    <row r="42" spans="1:41" ht="13.5" customHeight="1" thickBot="1">
      <c r="A42" s="2254"/>
      <c r="B42" s="2254"/>
      <c r="C42" s="2251"/>
      <c r="D42" s="2255"/>
      <c r="E42" s="2255"/>
      <c r="F42" s="2255"/>
      <c r="G42" s="2120" t="s">
        <v>1570</v>
      </c>
      <c r="H42" s="2365"/>
      <c r="I42" s="2255"/>
      <c r="J42" s="2255"/>
      <c r="K42" s="2255"/>
      <c r="L42" s="2255"/>
      <c r="M42" s="2429"/>
      <c r="N42" s="2429"/>
      <c r="O42" s="2431"/>
    </row>
    <row r="43" spans="1:41" ht="14.4">
      <c r="A43" s="2254"/>
      <c r="B43" s="2254"/>
      <c r="C43" s="2251"/>
      <c r="D43" s="2253"/>
      <c r="E43" s="2253" t="s">
        <v>1596</v>
      </c>
      <c r="F43" s="2253" t="s">
        <v>1572</v>
      </c>
      <c r="G43" s="2422" t="s">
        <v>1573</v>
      </c>
      <c r="H43" s="2396"/>
      <c r="I43" s="866" t="s">
        <v>1574</v>
      </c>
      <c r="J43" s="866" t="s">
        <v>1575</v>
      </c>
      <c r="K43" s="866" t="s">
        <v>1576</v>
      </c>
      <c r="L43" s="866" t="s">
        <v>1577</v>
      </c>
      <c r="M43" s="2429"/>
      <c r="N43" s="2429"/>
      <c r="O43" s="2431"/>
    </row>
    <row r="44" spans="1:41" ht="30" customHeight="1" thickBot="1">
      <c r="A44" s="2254"/>
      <c r="B44" s="2254"/>
      <c r="C44" s="2251"/>
      <c r="D44" s="2255"/>
      <c r="E44" s="2255"/>
      <c r="F44" s="2255"/>
      <c r="G44" s="2120"/>
      <c r="H44" s="2365"/>
      <c r="I44" s="958" t="s">
        <v>1578</v>
      </c>
      <c r="J44" s="958" t="s">
        <v>1578</v>
      </c>
      <c r="K44" s="958" t="s">
        <v>1578</v>
      </c>
      <c r="L44" s="958" t="s">
        <v>1578</v>
      </c>
      <c r="M44" s="2429"/>
      <c r="N44" s="2429"/>
      <c r="O44" s="2431"/>
    </row>
    <row r="45" spans="1:41" ht="15" thickBot="1">
      <c r="A45" s="2278"/>
      <c r="B45" s="2278"/>
      <c r="C45" s="2277"/>
      <c r="D45" s="393" t="s">
        <v>1213</v>
      </c>
      <c r="E45" s="393" t="s">
        <v>1579</v>
      </c>
      <c r="F45" s="393" t="s">
        <v>1580</v>
      </c>
      <c r="G45" s="2418" t="s">
        <v>1581</v>
      </c>
      <c r="H45" s="2419"/>
      <c r="I45" s="393" t="s">
        <v>1582</v>
      </c>
      <c r="J45" s="393" t="s">
        <v>1583</v>
      </c>
      <c r="K45" s="393" t="s">
        <v>1584</v>
      </c>
      <c r="L45" s="393" t="s">
        <v>1585</v>
      </c>
      <c r="M45" s="2429"/>
      <c r="N45" s="2429"/>
      <c r="O45" s="2432"/>
    </row>
    <row r="46" spans="1:41" ht="15.6" thickTop="1" thickBot="1">
      <c r="A46" s="2264" t="s">
        <v>1338</v>
      </c>
      <c r="B46" s="2264" t="s">
        <v>1338</v>
      </c>
      <c r="C46" s="2393" t="s">
        <v>1597</v>
      </c>
      <c r="D46" s="2390">
        <f>C34/6.25</f>
        <v>0</v>
      </c>
      <c r="E46" s="2264">
        <v>6.5</v>
      </c>
      <c r="F46" s="2264">
        <v>0.8</v>
      </c>
      <c r="G46" s="995" t="s">
        <v>1586</v>
      </c>
      <c r="H46" s="1000">
        <v>2.7</v>
      </c>
      <c r="I46" s="1001">
        <f>D46*E46*F46*H46*10^-3</f>
        <v>0</v>
      </c>
      <c r="J46" s="1002"/>
      <c r="K46" s="1002"/>
      <c r="L46" s="1002"/>
      <c r="M46" s="396">
        <f>I46*$N$13</f>
        <v>0</v>
      </c>
      <c r="N46" s="397"/>
      <c r="O46" s="749"/>
    </row>
    <row r="47" spans="1:41" ht="13.8" thickBot="1">
      <c r="A47" s="2254"/>
      <c r="B47" s="2254"/>
      <c r="C47" s="2394"/>
      <c r="D47" s="2391"/>
      <c r="E47" s="2254"/>
      <c r="F47" s="2254"/>
      <c r="G47" s="995" t="s">
        <v>600</v>
      </c>
      <c r="H47" s="1000">
        <v>92</v>
      </c>
      <c r="I47" s="1002"/>
      <c r="J47" s="960">
        <f>D46*E46*F46*H47*10^-3</f>
        <v>0</v>
      </c>
      <c r="K47" s="1002"/>
      <c r="L47" s="1002"/>
      <c r="M47" s="395"/>
      <c r="N47" s="997"/>
      <c r="O47" s="1212"/>
    </row>
    <row r="48" spans="1:41" ht="15" thickBot="1">
      <c r="A48" s="2254"/>
      <c r="B48" s="2254"/>
      <c r="C48" s="2394"/>
      <c r="D48" s="2391"/>
      <c r="E48" s="2254"/>
      <c r="F48" s="2254"/>
      <c r="G48" s="995" t="s">
        <v>1587</v>
      </c>
      <c r="H48" s="1000">
        <v>7.0000000000000007E-2</v>
      </c>
      <c r="I48" s="1002"/>
      <c r="J48" s="1002"/>
      <c r="K48" s="960">
        <f>D46*E46*F46*H48*10^-3</f>
        <v>0</v>
      </c>
      <c r="L48" s="1002"/>
      <c r="M48" s="395"/>
      <c r="N48" s="960">
        <f>K48*$O$13</f>
        <v>0</v>
      </c>
      <c r="O48" s="1212"/>
    </row>
    <row r="49" spans="1:15" ht="15" thickBot="1">
      <c r="A49" s="2254"/>
      <c r="B49" s="2254"/>
      <c r="C49" s="2395"/>
      <c r="D49" s="2392"/>
      <c r="E49" s="2359"/>
      <c r="F49" s="2359"/>
      <c r="G49" s="995" t="s">
        <v>1588</v>
      </c>
      <c r="H49" s="1000">
        <v>2.5</v>
      </c>
      <c r="I49" s="1002"/>
      <c r="J49" s="1002"/>
      <c r="K49" s="1002"/>
      <c r="L49" s="960">
        <f>D46*E46*F46*H49*10^-3</f>
        <v>0</v>
      </c>
      <c r="M49" s="403"/>
      <c r="N49" s="401"/>
      <c r="O49" s="751"/>
    </row>
    <row r="50" spans="1:15" ht="15.6" thickTop="1" thickBot="1">
      <c r="A50" s="2254"/>
      <c r="B50" s="2254"/>
      <c r="C50" s="2393" t="s">
        <v>1598</v>
      </c>
      <c r="D50" s="2390">
        <f>C35/6.25</f>
        <v>0</v>
      </c>
      <c r="E50" s="2434">
        <v>5.5</v>
      </c>
      <c r="F50" s="2264">
        <v>0.8</v>
      </c>
      <c r="G50" s="995" t="s">
        <v>1586</v>
      </c>
      <c r="H50" s="1000">
        <v>2.7</v>
      </c>
      <c r="I50" s="1001">
        <f>D50*E50*F50*H50*10^-3</f>
        <v>0</v>
      </c>
      <c r="J50" s="1002"/>
      <c r="K50" s="1002"/>
      <c r="L50" s="1002"/>
      <c r="M50" s="396">
        <f>I50*$N$13</f>
        <v>0</v>
      </c>
      <c r="N50" s="397"/>
      <c r="O50" s="749"/>
    </row>
    <row r="51" spans="1:15" ht="13.8" thickBot="1">
      <c r="A51" s="2254"/>
      <c r="B51" s="2254"/>
      <c r="C51" s="2394"/>
      <c r="D51" s="2391"/>
      <c r="E51" s="2254"/>
      <c r="F51" s="2254"/>
      <c r="G51" s="995" t="s">
        <v>600</v>
      </c>
      <c r="H51" s="1000">
        <v>92</v>
      </c>
      <c r="I51" s="1002"/>
      <c r="J51" s="960">
        <f>D50*E50*F50*H51*10^-3</f>
        <v>0</v>
      </c>
      <c r="K51" s="1002"/>
      <c r="L51" s="1002"/>
      <c r="M51" s="395"/>
      <c r="N51" s="997"/>
      <c r="O51" s="1212"/>
    </row>
    <row r="52" spans="1:15" ht="15" thickBot="1">
      <c r="A52" s="2254"/>
      <c r="B52" s="2254"/>
      <c r="C52" s="2394"/>
      <c r="D52" s="2391"/>
      <c r="E52" s="2254"/>
      <c r="F52" s="2254"/>
      <c r="G52" s="995" t="s">
        <v>1587</v>
      </c>
      <c r="H52" s="1000">
        <v>7.0000000000000007E-2</v>
      </c>
      <c r="I52" s="1002"/>
      <c r="J52" s="1002"/>
      <c r="K52" s="960">
        <f>D50*E50*F50*H52*10^-3</f>
        <v>0</v>
      </c>
      <c r="L52" s="1002"/>
      <c r="M52" s="395"/>
      <c r="N52" s="960">
        <f>K52*$O$13</f>
        <v>0</v>
      </c>
      <c r="O52" s="1212"/>
    </row>
    <row r="53" spans="1:15" ht="15" thickBot="1">
      <c r="A53" s="2254"/>
      <c r="B53" s="2254"/>
      <c r="C53" s="2395"/>
      <c r="D53" s="2392"/>
      <c r="E53" s="2359"/>
      <c r="F53" s="2359"/>
      <c r="G53" s="995" t="s">
        <v>1588</v>
      </c>
      <c r="H53" s="1000">
        <v>2.5</v>
      </c>
      <c r="I53" s="1002"/>
      <c r="J53" s="1002"/>
      <c r="K53" s="1002"/>
      <c r="L53" s="960">
        <f>D50*E50*F50*H53*10^-3</f>
        <v>0</v>
      </c>
      <c r="M53" s="403"/>
      <c r="N53" s="401"/>
      <c r="O53" s="751"/>
    </row>
    <row r="54" spans="1:15" ht="15.6" thickTop="1" thickBot="1">
      <c r="A54" s="2254"/>
      <c r="B54" s="2254"/>
      <c r="C54" s="2435" t="s">
        <v>1599</v>
      </c>
      <c r="D54" s="2390">
        <f>C36/6.25</f>
        <v>0</v>
      </c>
      <c r="E54" s="2434">
        <v>10</v>
      </c>
      <c r="F54" s="2434">
        <v>0.8</v>
      </c>
      <c r="G54" s="995" t="s">
        <v>1586</v>
      </c>
      <c r="H54" s="1000">
        <v>2.7</v>
      </c>
      <c r="I54" s="1001">
        <f>D54*E54*F54*H54*10^-3</f>
        <v>0</v>
      </c>
      <c r="J54" s="1002"/>
      <c r="K54" s="1002"/>
      <c r="L54" s="1002"/>
      <c r="M54" s="396">
        <f>I54*$N$13</f>
        <v>0</v>
      </c>
      <c r="N54" s="397"/>
      <c r="O54" s="749"/>
    </row>
    <row r="55" spans="1:15" ht="13.8" thickBot="1">
      <c r="A55" s="2254"/>
      <c r="B55" s="2254"/>
      <c r="C55" s="2394"/>
      <c r="D55" s="2391"/>
      <c r="E55" s="2254"/>
      <c r="F55" s="2254"/>
      <c r="G55" s="995" t="s">
        <v>600</v>
      </c>
      <c r="H55" s="1000">
        <v>92</v>
      </c>
      <c r="I55" s="1002"/>
      <c r="J55" s="960">
        <f>D54*E54*F54*H55*10^-3</f>
        <v>0</v>
      </c>
      <c r="K55" s="1002"/>
      <c r="L55" s="1002"/>
      <c r="M55" s="395"/>
      <c r="N55" s="997"/>
      <c r="O55" s="1212"/>
    </row>
    <row r="56" spans="1:15" ht="15" thickBot="1">
      <c r="A56" s="2254"/>
      <c r="B56" s="2254"/>
      <c r="C56" s="2394"/>
      <c r="D56" s="2391"/>
      <c r="E56" s="2254"/>
      <c r="F56" s="2254"/>
      <c r="G56" s="995" t="s">
        <v>1587</v>
      </c>
      <c r="H56" s="1000">
        <v>7.0000000000000007E-2</v>
      </c>
      <c r="I56" s="1002"/>
      <c r="J56" s="1002"/>
      <c r="K56" s="960">
        <f>D54*E54*F54*H56*10^-3</f>
        <v>0</v>
      </c>
      <c r="L56" s="1002"/>
      <c r="M56" s="395"/>
      <c r="N56" s="960">
        <f>K56*$O$13</f>
        <v>0</v>
      </c>
      <c r="O56" s="1212"/>
    </row>
    <row r="57" spans="1:15" ht="15" thickBot="1">
      <c r="A57" s="2254"/>
      <c r="B57" s="2254"/>
      <c r="C57" s="2394"/>
      <c r="D57" s="2392"/>
      <c r="E57" s="2254"/>
      <c r="F57" s="2254"/>
      <c r="G57" s="399" t="s">
        <v>1588</v>
      </c>
      <c r="H57" s="408">
        <v>2.5</v>
      </c>
      <c r="I57" s="409"/>
      <c r="J57" s="409"/>
      <c r="K57" s="409"/>
      <c r="L57" s="402">
        <f>D54*E54*F54*H57*10^-3</f>
        <v>0</v>
      </c>
      <c r="M57" s="403"/>
      <c r="N57" s="401"/>
      <c r="O57" s="751"/>
    </row>
    <row r="58" spans="1:15" ht="14.7" customHeight="1" thickBot="1">
      <c r="A58" s="2397" t="s">
        <v>250</v>
      </c>
      <c r="B58" s="2398"/>
      <c r="C58" s="2399"/>
      <c r="D58" s="2409">
        <f>SUM(D46:D57)</f>
        <v>0</v>
      </c>
      <c r="E58" s="2406"/>
      <c r="F58" s="2406"/>
      <c r="G58" s="2388" t="s">
        <v>1586</v>
      </c>
      <c r="H58" s="2389"/>
      <c r="I58" s="404">
        <f>I46+I50+I54</f>
        <v>0</v>
      </c>
      <c r="J58" s="405"/>
      <c r="K58" s="405"/>
      <c r="L58" s="405"/>
      <c r="M58" s="404">
        <f>M46+M50+M54</f>
        <v>0</v>
      </c>
      <c r="N58" s="405"/>
      <c r="O58" s="749">
        <f>SUM(M58:N58)</f>
        <v>0</v>
      </c>
    </row>
    <row r="59" spans="1:15" ht="13.8" thickBot="1">
      <c r="A59" s="2400"/>
      <c r="B59" s="2401"/>
      <c r="C59" s="2402"/>
      <c r="D59" s="2410"/>
      <c r="E59" s="2407"/>
      <c r="F59" s="2407"/>
      <c r="G59" s="2388" t="s">
        <v>600</v>
      </c>
      <c r="H59" s="2389"/>
      <c r="I59" s="998"/>
      <c r="J59" s="404">
        <f>J47+J51+J55</f>
        <v>0</v>
      </c>
      <c r="K59" s="998"/>
      <c r="L59" s="998"/>
      <c r="M59" s="398"/>
      <c r="N59" s="998"/>
      <c r="O59" s="1212">
        <f>SUM(M59:N59)</f>
        <v>0</v>
      </c>
    </row>
    <row r="60" spans="1:15" ht="14.7" customHeight="1" thickBot="1">
      <c r="A60" s="2400"/>
      <c r="B60" s="2401"/>
      <c r="C60" s="2402"/>
      <c r="D60" s="2410"/>
      <c r="E60" s="2407"/>
      <c r="F60" s="2407"/>
      <c r="G60" s="2388" t="s">
        <v>1587</v>
      </c>
      <c r="H60" s="2389"/>
      <c r="I60" s="998"/>
      <c r="J60" s="998"/>
      <c r="K60" s="404">
        <f>K48+K52+K56</f>
        <v>0</v>
      </c>
      <c r="L60" s="998"/>
      <c r="M60" s="398"/>
      <c r="N60" s="404">
        <f>N48+N52+N56</f>
        <v>0</v>
      </c>
      <c r="O60" s="1212">
        <f>SUM(M60:N60)</f>
        <v>0</v>
      </c>
    </row>
    <row r="61" spans="1:15" ht="14.7" customHeight="1" thickBot="1">
      <c r="A61" s="2403"/>
      <c r="B61" s="2404"/>
      <c r="C61" s="2405"/>
      <c r="D61" s="2411"/>
      <c r="E61" s="2408"/>
      <c r="F61" s="2408"/>
      <c r="G61" s="2388" t="s">
        <v>1588</v>
      </c>
      <c r="H61" s="2389"/>
      <c r="I61" s="998"/>
      <c r="J61" s="998"/>
      <c r="K61" s="998"/>
      <c r="L61" s="404">
        <f>L49+L53+L57</f>
        <v>0</v>
      </c>
      <c r="M61" s="398"/>
      <c r="N61" s="998"/>
      <c r="O61" s="923">
        <f>SUM(M61:N61)</f>
        <v>0</v>
      </c>
    </row>
    <row r="62" spans="1:15" ht="15.6" thickBot="1">
      <c r="A62" s="2369" t="s">
        <v>1600</v>
      </c>
      <c r="B62" s="2369"/>
      <c r="C62" s="2369"/>
      <c r="D62" s="2369"/>
      <c r="E62" s="2369"/>
      <c r="F62" s="2369"/>
      <c r="G62" s="2369"/>
      <c r="H62" s="2369"/>
      <c r="I62" s="2369"/>
      <c r="J62" s="2369"/>
      <c r="K62" s="2369"/>
      <c r="L62" s="2369"/>
      <c r="O62" s="1473">
        <f>SUM(O58:O61)</f>
        <v>0</v>
      </c>
    </row>
    <row r="63" spans="1:15" ht="15">
      <c r="A63" s="2369" t="s">
        <v>1601</v>
      </c>
      <c r="B63" s="2369"/>
      <c r="C63" s="2369"/>
      <c r="D63" s="2369"/>
      <c r="E63" s="2369"/>
      <c r="F63" s="2369"/>
      <c r="G63" s="2369"/>
      <c r="H63" s="2369"/>
      <c r="I63" s="2369"/>
      <c r="J63" s="2369"/>
      <c r="K63" s="2369"/>
      <c r="L63" s="2369"/>
    </row>
  </sheetData>
  <mergeCells count="90">
    <mergeCell ref="D46:D49"/>
    <mergeCell ref="E46:E49"/>
    <mergeCell ref="C54:C57"/>
    <mergeCell ref="E43:E44"/>
    <mergeCell ref="F43:F44"/>
    <mergeCell ref="G43:H44"/>
    <mergeCell ref="F54:F57"/>
    <mergeCell ref="F46:F49"/>
    <mergeCell ref="E54:E57"/>
    <mergeCell ref="G45:H45"/>
    <mergeCell ref="E50:E53"/>
    <mergeCell ref="F50:F53"/>
    <mergeCell ref="A39:B39"/>
    <mergeCell ref="G40:H40"/>
    <mergeCell ref="D25:D28"/>
    <mergeCell ref="M39:O39"/>
    <mergeCell ref="G18:H19"/>
    <mergeCell ref="A29:L29"/>
    <mergeCell ref="E18:E19"/>
    <mergeCell ref="F18:F19"/>
    <mergeCell ref="M40:M45"/>
    <mergeCell ref="N40:N45"/>
    <mergeCell ref="O40:O45"/>
    <mergeCell ref="M15:M20"/>
    <mergeCell ref="N15:N20"/>
    <mergeCell ref="O15:O20"/>
    <mergeCell ref="B21:B24"/>
    <mergeCell ref="C21:C24"/>
    <mergeCell ref="A14:B14"/>
    <mergeCell ref="D14:L14"/>
    <mergeCell ref="A15:B15"/>
    <mergeCell ref="C15:C20"/>
    <mergeCell ref="G15:H15"/>
    <mergeCell ref="A16:A20"/>
    <mergeCell ref="B16:B20"/>
    <mergeCell ref="D16:D17"/>
    <mergeCell ref="F16:F17"/>
    <mergeCell ref="G16:H16"/>
    <mergeCell ref="I16:I17"/>
    <mergeCell ref="J16:J17"/>
    <mergeCell ref="K16:K17"/>
    <mergeCell ref="D18:D19"/>
    <mergeCell ref="L41:L42"/>
    <mergeCell ref="G42:H42"/>
    <mergeCell ref="D39:L39"/>
    <mergeCell ref="E41:E42"/>
    <mergeCell ref="F41:F42"/>
    <mergeCell ref="I41:I42"/>
    <mergeCell ref="J41:J42"/>
    <mergeCell ref="G41:H41"/>
    <mergeCell ref="M14:O14"/>
    <mergeCell ref="A30:L30"/>
    <mergeCell ref="A25:C28"/>
    <mergeCell ref="E25:E28"/>
    <mergeCell ref="F25:F28"/>
    <mergeCell ref="G25:H25"/>
    <mergeCell ref="G26:H26"/>
    <mergeCell ref="G27:H27"/>
    <mergeCell ref="G28:H28"/>
    <mergeCell ref="L16:L17"/>
    <mergeCell ref="G17:H17"/>
    <mergeCell ref="G20:H20"/>
    <mergeCell ref="A21:A24"/>
    <mergeCell ref="D21:D24"/>
    <mergeCell ref="E21:E24"/>
    <mergeCell ref="F21:F24"/>
    <mergeCell ref="A63:L63"/>
    <mergeCell ref="A58:C61"/>
    <mergeCell ref="E58:E61"/>
    <mergeCell ref="F58:F61"/>
    <mergeCell ref="G61:H61"/>
    <mergeCell ref="D58:D61"/>
    <mergeCell ref="G59:H59"/>
    <mergeCell ref="G60:H60"/>
    <mergeCell ref="A37:B37"/>
    <mergeCell ref="A46:A57"/>
    <mergeCell ref="B46:B57"/>
    <mergeCell ref="A62:L62"/>
    <mergeCell ref="G58:H58"/>
    <mergeCell ref="D54:D57"/>
    <mergeCell ref="D50:D53"/>
    <mergeCell ref="C50:C53"/>
    <mergeCell ref="C46:C49"/>
    <mergeCell ref="A40:B40"/>
    <mergeCell ref="C40:C45"/>
    <mergeCell ref="A41:A45"/>
    <mergeCell ref="B41:B45"/>
    <mergeCell ref="D41:D42"/>
    <mergeCell ref="D43:D44"/>
    <mergeCell ref="K41:K4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H16"/>
  <sheetViews>
    <sheetView zoomScaleNormal="100" workbookViewId="0">
      <selection activeCell="D12" sqref="D12"/>
    </sheetView>
  </sheetViews>
  <sheetFormatPr defaultColWidth="8.6640625" defaultRowHeight="13.2"/>
  <cols>
    <col min="1" max="1" width="16.44140625" style="99" customWidth="1"/>
    <col min="2" max="5" width="20.6640625" style="99" customWidth="1"/>
    <col min="6" max="6" width="27.6640625" style="99" bestFit="1" customWidth="1"/>
    <col min="7" max="7" width="32" style="99" customWidth="1"/>
    <col min="8" max="8" width="16.44140625" style="99" customWidth="1"/>
    <col min="9" max="16384" width="8.6640625" style="99"/>
  </cols>
  <sheetData>
    <row r="1" spans="1:8" s="205" customFormat="1">
      <c r="A1" s="1474" t="s">
        <v>1147</v>
      </c>
      <c r="B1" s="1474"/>
      <c r="C1" s="1474"/>
      <c r="D1" s="1474"/>
      <c r="E1" s="1474"/>
      <c r="F1" s="1474"/>
      <c r="G1" s="1474"/>
      <c r="H1" s="1474"/>
    </row>
    <row r="2" spans="1:8" s="205" customFormat="1" ht="14.4">
      <c r="A2" s="1478" t="s">
        <v>2459</v>
      </c>
      <c r="B2" s="1479"/>
      <c r="C2" s="1479"/>
      <c r="D2" s="1479"/>
      <c r="E2" s="1479"/>
      <c r="F2" s="1479"/>
      <c r="G2" s="1479"/>
      <c r="H2" s="1479"/>
    </row>
    <row r="3" spans="1:8">
      <c r="A3" s="1476" t="s">
        <v>2430</v>
      </c>
      <c r="B3" s="1477"/>
      <c r="C3" s="1477"/>
      <c r="D3" s="1477"/>
      <c r="E3" s="1477"/>
      <c r="F3" s="1477"/>
      <c r="G3" s="1477"/>
      <c r="H3" s="1477"/>
    </row>
    <row r="5" spans="1:8">
      <c r="A5" s="120" t="s">
        <v>254</v>
      </c>
      <c r="B5" s="1413">
        <f>'City information'!$C$4</f>
        <v>0</v>
      </c>
      <c r="C5" s="120"/>
      <c r="D5" s="120"/>
      <c r="E5" s="120"/>
      <c r="F5" s="120"/>
      <c r="G5" s="120"/>
      <c r="H5" s="120"/>
    </row>
    <row r="6" spans="1:8">
      <c r="A6" s="120" t="s">
        <v>140</v>
      </c>
      <c r="B6" s="1413">
        <f>'City information'!$C$5</f>
        <v>2562</v>
      </c>
      <c r="C6" s="120"/>
      <c r="D6" s="120"/>
      <c r="E6" s="120"/>
      <c r="F6" s="120"/>
      <c r="G6" s="120"/>
      <c r="H6" s="120"/>
    </row>
    <row r="8" spans="1:8">
      <c r="A8" s="111" t="s">
        <v>447</v>
      </c>
      <c r="B8" s="112"/>
      <c r="C8" s="111"/>
      <c r="D8" s="111"/>
      <c r="E8" s="111"/>
      <c r="F8" s="111"/>
      <c r="G8" s="111"/>
      <c r="H8" s="111"/>
    </row>
    <row r="9" spans="1:8" ht="13.8" thickBot="1"/>
    <row r="10" spans="1:8" ht="41.4" thickBot="1">
      <c r="A10" s="2253" t="s">
        <v>2146</v>
      </c>
      <c r="B10" s="2253" t="s">
        <v>2434</v>
      </c>
      <c r="C10" s="865" t="s">
        <v>2153</v>
      </c>
      <c r="D10" s="865" t="s">
        <v>2147</v>
      </c>
      <c r="E10" s="865" t="s">
        <v>2154</v>
      </c>
      <c r="F10" s="865" t="s">
        <v>2147</v>
      </c>
      <c r="G10" s="865" t="s">
        <v>2148</v>
      </c>
    </row>
    <row r="11" spans="1:8" ht="29.4" thickBot="1">
      <c r="A11" s="2254"/>
      <c r="B11" s="2254"/>
      <c r="C11" s="958" t="s">
        <v>2155</v>
      </c>
      <c r="D11" s="958" t="s">
        <v>2156</v>
      </c>
      <c r="E11" s="958" t="s">
        <v>2155</v>
      </c>
      <c r="F11" s="958" t="s">
        <v>2157</v>
      </c>
      <c r="G11" s="958" t="s">
        <v>1201</v>
      </c>
    </row>
    <row r="12" spans="1:8" ht="29.4" thickBot="1">
      <c r="A12" s="2254"/>
      <c r="B12" s="2254"/>
      <c r="C12" s="958"/>
      <c r="D12" s="958" t="s">
        <v>2149</v>
      </c>
      <c r="E12" s="958"/>
      <c r="F12" s="958" t="s">
        <v>2150</v>
      </c>
      <c r="G12" s="958" t="s">
        <v>2158</v>
      </c>
      <c r="H12" s="1714" t="s">
        <v>2433</v>
      </c>
    </row>
    <row r="13" spans="1:8" ht="15" thickBot="1">
      <c r="A13" s="2278"/>
      <c r="B13" s="2254"/>
      <c r="C13" s="1505" t="s">
        <v>2159</v>
      </c>
      <c r="D13" s="1505" t="s">
        <v>2160</v>
      </c>
      <c r="E13" s="1505" t="s">
        <v>2161</v>
      </c>
      <c r="F13" s="1505" t="s">
        <v>2162</v>
      </c>
      <c r="G13" s="393" t="s">
        <v>2532</v>
      </c>
      <c r="H13" s="1714" t="s">
        <v>2538</v>
      </c>
    </row>
    <row r="14" spans="1:8" ht="14.4" thickTop="1" thickBot="1">
      <c r="A14" s="871" t="s">
        <v>2151</v>
      </c>
      <c r="B14" s="1746"/>
      <c r="C14" s="1537"/>
      <c r="D14" s="1538">
        <v>0.12</v>
      </c>
      <c r="E14" s="1539"/>
      <c r="F14" s="1539"/>
      <c r="G14" s="1391">
        <f>((C14*D14)+(E14*F14))*44/12</f>
        <v>0</v>
      </c>
      <c r="H14" s="1713">
        <f>G14</f>
        <v>0</v>
      </c>
    </row>
    <row r="15" spans="1:8" ht="13.8" thickBot="1">
      <c r="A15" s="871" t="s">
        <v>2152</v>
      </c>
      <c r="B15" s="1746"/>
      <c r="C15" s="1539"/>
      <c r="D15" s="1539"/>
      <c r="E15" s="1540"/>
      <c r="F15" s="1541">
        <v>0.13</v>
      </c>
      <c r="G15" s="1391">
        <f>((C15*D15)+(E15*F15))*44/12</f>
        <v>0</v>
      </c>
      <c r="H15" s="1713">
        <f>G15</f>
        <v>0</v>
      </c>
    </row>
    <row r="16" spans="1:8" ht="13.8" thickBot="1">
      <c r="A16" s="2242" t="s">
        <v>250</v>
      </c>
      <c r="B16" s="2311"/>
      <c r="C16" s="1539"/>
      <c r="D16" s="1539"/>
      <c r="E16" s="1539"/>
      <c r="F16" s="1539"/>
      <c r="G16" s="1391">
        <f>SUM(G14:G15)</f>
        <v>0</v>
      </c>
      <c r="H16" s="1713">
        <f>G16</f>
        <v>0</v>
      </c>
    </row>
  </sheetData>
  <mergeCells count="3">
    <mergeCell ref="A10:A13"/>
    <mergeCell ref="B10:B13"/>
    <mergeCell ref="A16:B16"/>
  </mergeCells>
  <pageMargins left="0.75" right="0.75" top="1" bottom="1" header="0.5" footer="0.5"/>
  <pageSetup orientation="portrait" horizontalDpi="1200" verticalDpi="12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'V.1 Livestock'!$T$11:$T$14</xm:f>
          </x14:formula1>
          <xm:sqref>B14:B15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F18"/>
  <sheetViews>
    <sheetView zoomScaleNormal="100" workbookViewId="0">
      <selection activeCell="E23" sqref="E23"/>
    </sheetView>
  </sheetViews>
  <sheetFormatPr defaultColWidth="8.6640625" defaultRowHeight="13.2"/>
  <cols>
    <col min="1" max="1" width="16.44140625" style="1316" customWidth="1"/>
    <col min="2" max="4" width="30.6640625" style="1316" customWidth="1"/>
    <col min="5" max="5" width="27.6640625" style="1316" customWidth="1"/>
    <col min="6" max="6" width="16.33203125" style="1316" customWidth="1"/>
    <col min="7" max="16384" width="8.6640625" style="1316"/>
  </cols>
  <sheetData>
    <row r="1" spans="1:6" s="205" customFormat="1">
      <c r="A1" s="1474" t="s">
        <v>1147</v>
      </c>
      <c r="B1" s="1474"/>
      <c r="C1" s="1474"/>
      <c r="D1" s="1474"/>
      <c r="E1" s="1474"/>
      <c r="F1" s="1474"/>
    </row>
    <row r="2" spans="1:6" s="205" customFormat="1" ht="14.4">
      <c r="A2" s="1478" t="s">
        <v>2459</v>
      </c>
      <c r="B2" s="1479"/>
      <c r="C2" s="1479"/>
      <c r="D2" s="1479"/>
      <c r="E2" s="1479"/>
      <c r="F2" s="1479"/>
    </row>
    <row r="3" spans="1:6" s="99" customFormat="1">
      <c r="A3" s="1476" t="s">
        <v>2431</v>
      </c>
      <c r="B3" s="1477"/>
      <c r="C3" s="1477"/>
      <c r="D3" s="1477"/>
      <c r="E3" s="1477"/>
      <c r="F3" s="1477"/>
    </row>
    <row r="4" spans="1:6" s="99" customFormat="1"/>
    <row r="5" spans="1:6" s="99" customFormat="1">
      <c r="A5" s="120" t="s">
        <v>254</v>
      </c>
      <c r="B5" s="1413">
        <f>'City information'!$C$4</f>
        <v>0</v>
      </c>
      <c r="C5" s="120"/>
      <c r="D5" s="120"/>
      <c r="E5" s="120"/>
      <c r="F5" s="120"/>
    </row>
    <row r="6" spans="1:6" s="99" customFormat="1">
      <c r="A6" s="120" t="s">
        <v>140</v>
      </c>
      <c r="B6" s="1413">
        <f>'City information'!$C$5</f>
        <v>2562</v>
      </c>
      <c r="C6" s="120"/>
      <c r="D6" s="120"/>
      <c r="E6" s="120"/>
      <c r="F6" s="120"/>
    </row>
    <row r="7" spans="1:6" s="99" customFormat="1"/>
    <row r="8" spans="1:6" s="99" customFormat="1">
      <c r="A8" s="111" t="s">
        <v>447</v>
      </c>
      <c r="B8" s="112"/>
      <c r="C8" s="111"/>
      <c r="D8" s="111"/>
      <c r="E8" s="111"/>
      <c r="F8" s="111"/>
    </row>
    <row r="9" spans="1:6" s="99" customFormat="1" ht="13.8" thickBot="1"/>
    <row r="10" spans="1:6" ht="27" thickBot="1">
      <c r="A10" s="2438" t="s">
        <v>1188</v>
      </c>
      <c r="B10" s="2438" t="s">
        <v>2434</v>
      </c>
      <c r="C10" s="1321" t="s">
        <v>2163</v>
      </c>
      <c r="D10" s="1321" t="s">
        <v>2147</v>
      </c>
      <c r="E10" s="1321" t="s">
        <v>2164</v>
      </c>
    </row>
    <row r="11" spans="1:6">
      <c r="A11" s="2439"/>
      <c r="B11" s="2439"/>
      <c r="C11" s="2438" t="s">
        <v>2165</v>
      </c>
      <c r="D11" s="2438" t="s">
        <v>2166</v>
      </c>
      <c r="E11" s="2438" t="s">
        <v>1430</v>
      </c>
    </row>
    <row r="12" spans="1:6" ht="13.8" thickBot="1">
      <c r="A12" s="2439"/>
      <c r="B12" s="2439"/>
      <c r="C12" s="2441"/>
      <c r="D12" s="2442"/>
      <c r="E12" s="2441"/>
    </row>
    <row r="13" spans="1:6" ht="15.6" thickBot="1">
      <c r="A13" s="2439"/>
      <c r="B13" s="2439"/>
      <c r="C13" s="1317"/>
      <c r="D13" s="1317" t="s">
        <v>2167</v>
      </c>
      <c r="E13" s="1542" t="s">
        <v>2168</v>
      </c>
      <c r="F13" s="1714" t="s">
        <v>2433</v>
      </c>
    </row>
    <row r="14" spans="1:6" ht="15" thickBot="1">
      <c r="A14" s="2440"/>
      <c r="B14" s="2440"/>
      <c r="C14" s="1318" t="s">
        <v>799</v>
      </c>
      <c r="D14" s="1318" t="s">
        <v>886</v>
      </c>
      <c r="E14" s="1716" t="s">
        <v>2533</v>
      </c>
      <c r="F14" s="1714" t="s">
        <v>2538</v>
      </c>
    </row>
    <row r="15" spans="1:6" ht="14.4" thickTop="1" thickBot="1">
      <c r="A15" s="1332" t="s">
        <v>2282</v>
      </c>
      <c r="B15" s="1746"/>
      <c r="C15" s="1362"/>
      <c r="D15" s="1319">
        <v>0.2</v>
      </c>
      <c r="E15" s="1717">
        <f>(C15*D15)*44/12</f>
        <v>0</v>
      </c>
      <c r="F15" s="1713">
        <f>E15</f>
        <v>0</v>
      </c>
    </row>
    <row r="16" spans="1:6" ht="13.8" thickBot="1">
      <c r="A16" s="1332" t="s">
        <v>2283</v>
      </c>
      <c r="B16" s="1746"/>
      <c r="C16" s="1322"/>
      <c r="D16" s="1319">
        <v>0.2</v>
      </c>
      <c r="E16" s="1717">
        <f t="shared" ref="E16:E17" si="0">(C16*D16)*44/12</f>
        <v>0</v>
      </c>
      <c r="F16" s="1713">
        <f t="shared" ref="F16" si="1">E16</f>
        <v>0</v>
      </c>
    </row>
    <row r="17" spans="1:6" ht="13.8" thickBot="1">
      <c r="A17" s="1332" t="s">
        <v>2435</v>
      </c>
      <c r="B17" s="1746"/>
      <c r="C17" s="1322"/>
      <c r="D17" s="1319">
        <v>0.2</v>
      </c>
      <c r="E17" s="1717">
        <f t="shared" si="0"/>
        <v>0</v>
      </c>
      <c r="F17" s="1713">
        <f>E17</f>
        <v>0</v>
      </c>
    </row>
    <row r="18" spans="1:6" ht="13.8" thickBot="1">
      <c r="A18" s="2436" t="s">
        <v>250</v>
      </c>
      <c r="B18" s="2437"/>
      <c r="C18" s="1715">
        <f>SUM(C15:C17)</f>
        <v>0</v>
      </c>
      <c r="D18" s="1320"/>
      <c r="E18" s="1718">
        <f>SUM(E15:E17)</f>
        <v>0</v>
      </c>
      <c r="F18" s="1713">
        <f>E18</f>
        <v>0</v>
      </c>
    </row>
  </sheetData>
  <mergeCells count="6">
    <mergeCell ref="A18:B18"/>
    <mergeCell ref="A10:A14"/>
    <mergeCell ref="C11:C12"/>
    <mergeCell ref="D11:D12"/>
    <mergeCell ref="E11:E12"/>
    <mergeCell ref="B10:B14"/>
  </mergeCells>
  <pageMargins left="0.75" right="0.75" top="1" bottom="1" header="0.5" footer="0.5"/>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4F48B92-FF98-4357-AA1A-E1F42B13B647}">
          <x14:formula1>
            <xm:f>'V.1 Livestock'!$T$11:$T$14</xm:f>
          </x14:formula1>
          <xm:sqref>B15:B17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K63"/>
  <sheetViews>
    <sheetView zoomScale="70" zoomScaleNormal="70" workbookViewId="0">
      <selection activeCell="I19" sqref="I19:I22"/>
    </sheetView>
  </sheetViews>
  <sheetFormatPr defaultColWidth="8.6640625" defaultRowHeight="13.2"/>
  <cols>
    <col min="1" max="8" width="25.6640625" style="171" customWidth="1"/>
    <col min="9" max="9" width="30.33203125" style="171" customWidth="1"/>
    <col min="10" max="10" width="21.6640625" style="171" customWidth="1"/>
    <col min="11" max="11" width="15.33203125" style="171" customWidth="1"/>
    <col min="12" max="16384" width="8.6640625" style="171"/>
  </cols>
  <sheetData>
    <row r="1" spans="1:11" s="205" customFormat="1">
      <c r="A1" s="1474" t="s">
        <v>1147</v>
      </c>
      <c r="B1" s="1474"/>
      <c r="C1" s="1474"/>
      <c r="D1" s="1474"/>
      <c r="E1" s="1474"/>
      <c r="F1" s="1474"/>
      <c r="G1" s="1474"/>
      <c r="H1" s="1474"/>
      <c r="I1" s="1474"/>
      <c r="J1" s="1474"/>
      <c r="K1" s="1474"/>
    </row>
    <row r="2" spans="1:11" s="205" customFormat="1" ht="14.4">
      <c r="A2" s="1478" t="s">
        <v>2459</v>
      </c>
      <c r="B2" s="1479"/>
      <c r="C2" s="1479"/>
      <c r="D2" s="1479"/>
      <c r="E2" s="1479"/>
      <c r="F2" s="1479"/>
      <c r="G2" s="1479"/>
      <c r="H2" s="1479"/>
      <c r="I2" s="1479"/>
      <c r="J2" s="1479"/>
      <c r="K2" s="1479"/>
    </row>
    <row r="3" spans="1:11" s="99" customFormat="1" ht="12" customHeight="1">
      <c r="A3" s="1476" t="s">
        <v>2460</v>
      </c>
      <c r="B3" s="1477"/>
      <c r="C3" s="1477"/>
      <c r="D3" s="1477"/>
      <c r="E3" s="1477"/>
      <c r="F3" s="1477"/>
      <c r="G3" s="1477"/>
      <c r="H3" s="1477"/>
      <c r="I3" s="1477"/>
      <c r="J3" s="1477"/>
      <c r="K3" s="1477"/>
    </row>
    <row r="4" spans="1:11" s="99" customFormat="1"/>
    <row r="5" spans="1:11" s="99" customFormat="1">
      <c r="A5" s="120" t="s">
        <v>254</v>
      </c>
      <c r="B5" s="1413">
        <f>'City information'!$C$4</f>
        <v>0</v>
      </c>
      <c r="C5" s="120"/>
      <c r="D5" s="120"/>
      <c r="E5" s="120"/>
      <c r="F5" s="120"/>
      <c r="G5" s="120"/>
      <c r="H5" s="120"/>
      <c r="I5" s="120"/>
      <c r="J5" s="120"/>
      <c r="K5" s="120"/>
    </row>
    <row r="6" spans="1:11" s="99" customFormat="1">
      <c r="A6" s="120" t="s">
        <v>140</v>
      </c>
      <c r="B6" s="1413">
        <f>'City information'!$C$5</f>
        <v>2562</v>
      </c>
      <c r="C6" s="120"/>
      <c r="D6" s="120"/>
      <c r="E6" s="120"/>
      <c r="F6" s="120"/>
      <c r="G6" s="120"/>
      <c r="H6" s="120"/>
      <c r="I6" s="120"/>
      <c r="J6" s="120"/>
      <c r="K6" s="120"/>
    </row>
    <row r="7" spans="1:11" s="99" customFormat="1"/>
    <row r="8" spans="1:11" s="99" customFormat="1" hidden="1">
      <c r="A8" s="111" t="s">
        <v>447</v>
      </c>
      <c r="B8" s="112"/>
      <c r="C8" s="111"/>
      <c r="D8" s="111"/>
      <c r="E8" s="111"/>
      <c r="F8" s="111"/>
      <c r="G8" s="111"/>
      <c r="H8" s="111"/>
      <c r="I8" s="111"/>
      <c r="J8" s="111"/>
      <c r="K8" s="111"/>
    </row>
    <row r="9" spans="1:11" s="99" customFormat="1" ht="15" thickBot="1">
      <c r="A9" s="500" t="s">
        <v>2461</v>
      </c>
      <c r="B9" s="500"/>
      <c r="C9" s="500"/>
      <c r="D9" s="500"/>
      <c r="E9" s="500"/>
      <c r="F9" s="500"/>
      <c r="G9" s="500"/>
      <c r="H9" s="500"/>
      <c r="I9" s="500"/>
      <c r="J9" s="500"/>
      <c r="K9" s="500"/>
    </row>
    <row r="10" spans="1:11" ht="54" customHeight="1" thickBot="1">
      <c r="A10" s="2487" t="s">
        <v>2170</v>
      </c>
      <c r="B10" s="2488"/>
      <c r="C10" s="2456" t="s">
        <v>2434</v>
      </c>
      <c r="D10" s="2481" t="s">
        <v>2171</v>
      </c>
      <c r="E10" s="2482"/>
      <c r="F10" s="2481" t="s">
        <v>2190</v>
      </c>
      <c r="G10" s="2482"/>
      <c r="H10" s="1548" t="s">
        <v>2191</v>
      </c>
    </row>
    <row r="11" spans="1:11">
      <c r="A11" s="2489"/>
      <c r="B11" s="2490"/>
      <c r="C11" s="2457"/>
      <c r="D11" s="2493" t="s">
        <v>2125</v>
      </c>
      <c r="E11" s="2488"/>
      <c r="F11" s="2493" t="s">
        <v>2549</v>
      </c>
      <c r="G11" s="2488"/>
      <c r="H11" s="2479" t="s">
        <v>2192</v>
      </c>
    </row>
    <row r="12" spans="1:11" ht="13.8" thickBot="1">
      <c r="A12" s="2489"/>
      <c r="B12" s="2490"/>
      <c r="C12" s="2457"/>
      <c r="D12" s="2494"/>
      <c r="E12" s="2495"/>
      <c r="F12" s="2494"/>
      <c r="G12" s="2495"/>
      <c r="H12" s="2480"/>
    </row>
    <row r="13" spans="1:11" ht="15" thickBot="1">
      <c r="A13" s="2489"/>
      <c r="B13" s="2490"/>
      <c r="C13" s="2457"/>
      <c r="D13" s="2481"/>
      <c r="E13" s="2482"/>
      <c r="F13" s="2481" t="s">
        <v>2174</v>
      </c>
      <c r="G13" s="2482"/>
      <c r="H13" s="1323" t="s">
        <v>2193</v>
      </c>
      <c r="I13" s="1719" t="s">
        <v>2433</v>
      </c>
    </row>
    <row r="14" spans="1:11" ht="15" thickBot="1">
      <c r="A14" s="2491"/>
      <c r="B14" s="2492"/>
      <c r="C14" s="2458"/>
      <c r="D14" s="2483" t="s">
        <v>802</v>
      </c>
      <c r="E14" s="2484"/>
      <c r="F14" s="2483" t="s">
        <v>886</v>
      </c>
      <c r="G14" s="2484"/>
      <c r="H14" s="1549" t="s">
        <v>2194</v>
      </c>
      <c r="I14" s="1720" t="s">
        <v>2538</v>
      </c>
    </row>
    <row r="15" spans="1:11" ht="15.6" thickTop="1" thickBot="1">
      <c r="A15" s="2485" t="s">
        <v>2195</v>
      </c>
      <c r="B15" s="1324" t="s">
        <v>2175</v>
      </c>
      <c r="C15" s="1712"/>
      <c r="D15" s="1325" t="s">
        <v>2196</v>
      </c>
      <c r="E15" s="1336"/>
      <c r="F15" s="2486" t="s">
        <v>2197</v>
      </c>
      <c r="G15" s="2496">
        <v>0.01</v>
      </c>
      <c r="H15" s="2444">
        <f>((E15+E16+E17+E18)*G15)</f>
        <v>0</v>
      </c>
      <c r="I15" s="2447">
        <f>(H15*(44/28)*GPC!$F$87)/1000</f>
        <v>0</v>
      </c>
    </row>
    <row r="16" spans="1:11" ht="41.7" customHeight="1" thickBot="1">
      <c r="A16" s="2460"/>
      <c r="B16" s="1324" t="s">
        <v>2176</v>
      </c>
      <c r="C16" s="1712"/>
      <c r="D16" s="1325" t="s">
        <v>2198</v>
      </c>
      <c r="E16" s="1336"/>
      <c r="F16" s="2474"/>
      <c r="G16" s="2471"/>
      <c r="H16" s="2445"/>
      <c r="I16" s="2447"/>
    </row>
    <row r="17" spans="1:11" ht="15" thickBot="1">
      <c r="A17" s="2460"/>
      <c r="B17" s="1324" t="s">
        <v>2177</v>
      </c>
      <c r="C17" s="1712"/>
      <c r="D17" s="1325" t="s">
        <v>2199</v>
      </c>
      <c r="E17" s="1336"/>
      <c r="F17" s="2474"/>
      <c r="G17" s="2471"/>
      <c r="H17" s="2445"/>
      <c r="I17" s="2447"/>
    </row>
    <row r="18" spans="1:11" ht="81" thickBot="1">
      <c r="A18" s="2461"/>
      <c r="B18" s="1324" t="s">
        <v>2178</v>
      </c>
      <c r="C18" s="1712"/>
      <c r="D18" s="1325" t="s">
        <v>2200</v>
      </c>
      <c r="E18" s="1336"/>
      <c r="F18" s="2475"/>
      <c r="G18" s="2472"/>
      <c r="H18" s="2446"/>
      <c r="I18" s="2447"/>
    </row>
    <row r="19" spans="1:11" ht="15" thickBot="1">
      <c r="A19" s="2459" t="s">
        <v>2201</v>
      </c>
      <c r="B19" s="1324" t="s">
        <v>2175</v>
      </c>
      <c r="C19" s="1712"/>
      <c r="D19" s="1325" t="s">
        <v>2196</v>
      </c>
      <c r="E19" s="1336"/>
      <c r="F19" s="2473" t="s">
        <v>2202</v>
      </c>
      <c r="G19" s="2470">
        <v>3.0000000000000001E-3</v>
      </c>
      <c r="H19" s="2444">
        <f>((E19+E20+E21+E22)*G19)</f>
        <v>0</v>
      </c>
      <c r="I19" s="2447">
        <f>(H19*(44/28)*GPC!$F$87)/1000</f>
        <v>0</v>
      </c>
    </row>
    <row r="20" spans="1:11" ht="41.7" customHeight="1" thickBot="1">
      <c r="A20" s="2460"/>
      <c r="B20" s="1324" t="s">
        <v>2176</v>
      </c>
      <c r="C20" s="1712"/>
      <c r="D20" s="1325" t="s">
        <v>2198</v>
      </c>
      <c r="E20" s="1336"/>
      <c r="F20" s="2474"/>
      <c r="G20" s="2471"/>
      <c r="H20" s="2445"/>
      <c r="I20" s="2447"/>
    </row>
    <row r="21" spans="1:11" ht="15" thickBot="1">
      <c r="A21" s="2460"/>
      <c r="B21" s="1324" t="s">
        <v>2177</v>
      </c>
      <c r="C21" s="1712"/>
      <c r="D21" s="1325" t="s">
        <v>2199</v>
      </c>
      <c r="E21" s="1336"/>
      <c r="F21" s="2474"/>
      <c r="G21" s="2471"/>
      <c r="H21" s="2445"/>
      <c r="I21" s="2447"/>
    </row>
    <row r="22" spans="1:11" ht="81" thickBot="1">
      <c r="A22" s="2461"/>
      <c r="B22" s="1324" t="s">
        <v>2178</v>
      </c>
      <c r="C22" s="1712"/>
      <c r="D22" s="1325" t="s">
        <v>2200</v>
      </c>
      <c r="E22" s="1336"/>
      <c r="F22" s="2475"/>
      <c r="G22" s="2472"/>
      <c r="H22" s="2446"/>
      <c r="I22" s="2447"/>
    </row>
    <row r="23" spans="1:11" ht="13.8" thickBot="1">
      <c r="A23" s="2464" t="s">
        <v>250</v>
      </c>
      <c r="B23" s="2465"/>
      <c r="C23" s="2465"/>
      <c r="D23" s="2465"/>
      <c r="E23" s="1326"/>
      <c r="F23" s="1334"/>
      <c r="G23" s="1326"/>
      <c r="H23" s="1546">
        <f>SUM(H15:H22)</f>
        <v>0</v>
      </c>
      <c r="I23" s="1546">
        <f>SUM(I15:I22)</f>
        <v>0</v>
      </c>
    </row>
    <row r="24" spans="1:11" ht="13.8" thickBot="1"/>
    <row r="25" spans="1:11" s="99" customFormat="1" ht="67.8" thickBot="1">
      <c r="A25" s="2293" t="s">
        <v>2203</v>
      </c>
      <c r="B25" s="2462"/>
      <c r="C25" s="2253" t="s">
        <v>2434</v>
      </c>
      <c r="D25" s="1853" t="s">
        <v>2179</v>
      </c>
      <c r="E25" s="1853" t="s">
        <v>2204</v>
      </c>
      <c r="F25" s="1853" t="s">
        <v>2580</v>
      </c>
      <c r="G25" s="1853" t="s">
        <v>2180</v>
      </c>
      <c r="H25" s="1853" t="s">
        <v>2205</v>
      </c>
      <c r="I25" s="1853" t="s">
        <v>2206</v>
      </c>
      <c r="J25" s="865" t="s">
        <v>2206</v>
      </c>
    </row>
    <row r="26" spans="1:11" ht="14.4">
      <c r="A26" s="2115"/>
      <c r="B26" s="2251"/>
      <c r="C26" s="2254"/>
      <c r="D26" s="2253" t="s">
        <v>1197</v>
      </c>
      <c r="E26" s="1852" t="s">
        <v>2207</v>
      </c>
      <c r="F26" s="2253" t="s">
        <v>2192</v>
      </c>
      <c r="G26" s="2253" t="s">
        <v>2125</v>
      </c>
      <c r="H26" s="1852" t="s">
        <v>2208</v>
      </c>
      <c r="I26" s="2253" t="s">
        <v>2209</v>
      </c>
      <c r="J26" s="866" t="s">
        <v>2207</v>
      </c>
    </row>
    <row r="27" spans="1:11" ht="15" thickBot="1">
      <c r="A27" s="2115"/>
      <c r="B27" s="2251"/>
      <c r="C27" s="2254"/>
      <c r="D27" s="2255"/>
      <c r="E27" s="1854" t="s">
        <v>1202</v>
      </c>
      <c r="F27" s="2255"/>
      <c r="G27" s="2255"/>
      <c r="H27" s="1854" t="s">
        <v>2210</v>
      </c>
      <c r="I27" s="2255"/>
      <c r="J27" s="958" t="s">
        <v>1290</v>
      </c>
    </row>
    <row r="28" spans="1:11" ht="29.4" thickBot="1">
      <c r="A28" s="2115"/>
      <c r="B28" s="2251"/>
      <c r="C28" s="2254"/>
      <c r="D28" s="965"/>
      <c r="E28" s="965" t="s">
        <v>2174</v>
      </c>
      <c r="F28" s="965" t="s">
        <v>2211</v>
      </c>
      <c r="G28" s="965"/>
      <c r="H28" s="965" t="s">
        <v>2174</v>
      </c>
      <c r="I28" s="965" t="s">
        <v>2212</v>
      </c>
      <c r="J28" s="1543" t="s">
        <v>2213</v>
      </c>
      <c r="K28" s="1714" t="s">
        <v>2433</v>
      </c>
    </row>
    <row r="29" spans="1:11" ht="15" thickBot="1">
      <c r="A29" s="2463"/>
      <c r="B29" s="2277"/>
      <c r="C29" s="2278"/>
      <c r="D29" s="393" t="s">
        <v>2214</v>
      </c>
      <c r="E29" s="393" t="s">
        <v>2215</v>
      </c>
      <c r="F29" s="872" t="s">
        <v>2216</v>
      </c>
      <c r="G29" s="393" t="s">
        <v>2217</v>
      </c>
      <c r="H29" s="393" t="s">
        <v>2218</v>
      </c>
      <c r="I29" s="393" t="s">
        <v>2219</v>
      </c>
      <c r="J29" s="1335" t="s">
        <v>2220</v>
      </c>
      <c r="K29" s="1720" t="s">
        <v>2538</v>
      </c>
    </row>
    <row r="30" spans="1:11" ht="14.4" thickTop="1" thickBot="1">
      <c r="A30" s="2466" t="s">
        <v>2181</v>
      </c>
      <c r="B30" s="958" t="s">
        <v>2182</v>
      </c>
      <c r="C30" s="1712"/>
      <c r="D30" s="1315"/>
      <c r="E30" s="965">
        <v>8</v>
      </c>
      <c r="F30" s="964"/>
      <c r="G30" s="1314"/>
      <c r="H30" s="1314"/>
      <c r="I30" s="1314"/>
      <c r="J30" s="1544"/>
      <c r="K30" s="2443">
        <f>(J37*(44/28)*GPC!$F$87)/1000</f>
        <v>0</v>
      </c>
    </row>
    <row r="31" spans="1:11" ht="13.8" thickBot="1">
      <c r="A31" s="2467"/>
      <c r="B31" s="958" t="s">
        <v>2183</v>
      </c>
      <c r="C31" s="1712"/>
      <c r="D31" s="1315"/>
      <c r="E31" s="965">
        <v>16</v>
      </c>
      <c r="F31" s="1391">
        <f>D31*E31</f>
        <v>0</v>
      </c>
      <c r="G31" s="1314"/>
      <c r="H31" s="1314"/>
      <c r="I31" s="1314"/>
      <c r="J31" s="1544"/>
      <c r="K31" s="2443"/>
    </row>
    <row r="32" spans="1:11" ht="13.8" thickBot="1">
      <c r="A32" s="2467"/>
      <c r="B32" s="958" t="s">
        <v>2184</v>
      </c>
      <c r="C32" s="1712"/>
      <c r="D32" s="1315"/>
      <c r="E32" s="965">
        <v>0.6</v>
      </c>
      <c r="F32" s="964"/>
      <c r="G32" s="1314"/>
      <c r="H32" s="1314"/>
      <c r="I32" s="1314"/>
      <c r="J32" s="1544"/>
      <c r="K32" s="2443"/>
    </row>
    <row r="33" spans="1:11" ht="13.8" thickBot="1">
      <c r="A33" s="2467"/>
      <c r="B33" s="958" t="s">
        <v>2185</v>
      </c>
      <c r="C33" s="1712"/>
      <c r="D33" s="1315"/>
      <c r="E33" s="965">
        <v>0.1</v>
      </c>
      <c r="F33" s="964"/>
      <c r="G33" s="1314"/>
      <c r="H33" s="1314"/>
      <c r="I33" s="1314"/>
      <c r="J33" s="1544"/>
      <c r="K33" s="2443"/>
    </row>
    <row r="34" spans="1:11" ht="13.8" thickBot="1">
      <c r="A34" s="2468"/>
      <c r="B34" s="958" t="s">
        <v>2186</v>
      </c>
      <c r="C34" s="1712"/>
      <c r="D34" s="1315"/>
      <c r="E34" s="965">
        <v>8</v>
      </c>
      <c r="F34" s="964"/>
      <c r="G34" s="1314"/>
      <c r="H34" s="1314"/>
      <c r="I34" s="1314"/>
      <c r="J34" s="1544"/>
      <c r="K34" s="2443"/>
    </row>
    <row r="35" spans="1:11" ht="13.8" thickBot="1">
      <c r="A35" s="2469" t="s">
        <v>2187</v>
      </c>
      <c r="B35" s="958" t="s">
        <v>2188</v>
      </c>
      <c r="C35" s="1712"/>
      <c r="D35" s="1314"/>
      <c r="E35" s="1314"/>
      <c r="F35" s="1314"/>
      <c r="G35" s="1338"/>
      <c r="H35" s="965">
        <v>0.02</v>
      </c>
      <c r="I35" s="1391">
        <f>G35*H35</f>
        <v>0</v>
      </c>
      <c r="J35" s="1544"/>
      <c r="K35" s="2443"/>
    </row>
    <row r="36" spans="1:11" ht="13.8" thickBot="1">
      <c r="A36" s="2468"/>
      <c r="B36" s="958" t="s">
        <v>2189</v>
      </c>
      <c r="C36" s="1712"/>
      <c r="D36" s="1314"/>
      <c r="E36" s="1314"/>
      <c r="F36" s="1314"/>
      <c r="G36" s="1327"/>
      <c r="H36" s="965">
        <v>0.01</v>
      </c>
      <c r="I36" s="1391">
        <f>G36*H36</f>
        <v>0</v>
      </c>
      <c r="J36" s="1544"/>
      <c r="K36" s="2443"/>
    </row>
    <row r="37" spans="1:11" ht="13.8" thickBot="1">
      <c r="A37" s="2242" t="s">
        <v>250</v>
      </c>
      <c r="B37" s="2311"/>
      <c r="C37" s="1529"/>
      <c r="D37" s="1314"/>
      <c r="E37" s="1314"/>
      <c r="F37" s="1314">
        <f>SUM(F30:F34)</f>
        <v>0</v>
      </c>
      <c r="G37" s="1314"/>
      <c r="H37" s="1314"/>
      <c r="I37" s="1734">
        <f>SUM(I35:I36)</f>
        <v>0</v>
      </c>
      <c r="J37" s="1734">
        <f>SUM(I37,F37)</f>
        <v>0</v>
      </c>
      <c r="K37" s="2443"/>
    </row>
    <row r="38" spans="1:11" ht="14.4">
      <c r="A38" s="2476" t="s">
        <v>2221</v>
      </c>
      <c r="B38" s="2477"/>
      <c r="C38" s="2477"/>
      <c r="D38" s="2477"/>
      <c r="E38" s="2477"/>
      <c r="F38" s="2477"/>
      <c r="G38" s="2477"/>
      <c r="H38" s="2477"/>
      <c r="I38" s="2478"/>
    </row>
    <row r="39" spans="1:11" ht="15" thickBot="1">
      <c r="A39" s="2451" t="s">
        <v>2222</v>
      </c>
      <c r="B39" s="2452"/>
      <c r="C39" s="2452"/>
      <c r="D39" s="2452"/>
      <c r="E39" s="2452"/>
      <c r="F39" s="2452"/>
      <c r="G39" s="2452"/>
      <c r="H39" s="2452"/>
      <c r="I39" s="2453"/>
    </row>
    <row r="40" spans="1:11" ht="14.4">
      <c r="A40" s="1310"/>
      <c r="B40" s="1310"/>
      <c r="C40" s="1310"/>
      <c r="D40" s="1310"/>
      <c r="E40" s="1310"/>
      <c r="F40" s="1310"/>
      <c r="G40" s="1310"/>
      <c r="H40" s="1310"/>
      <c r="I40" s="1310"/>
    </row>
    <row r="41" spans="1:11" ht="14.4">
      <c r="A41" s="500" t="s">
        <v>2462</v>
      </c>
      <c r="B41" s="500"/>
      <c r="C41" s="500"/>
      <c r="D41" s="500"/>
      <c r="E41" s="500"/>
      <c r="F41" s="500"/>
      <c r="G41" s="500"/>
      <c r="H41" s="500"/>
      <c r="I41" s="500"/>
    </row>
    <row r="42" spans="1:11" ht="15" thickBot="1">
      <c r="A42" s="171" t="s">
        <v>2463</v>
      </c>
    </row>
    <row r="43" spans="1:11" ht="64.8" thickBot="1">
      <c r="A43" s="2448" t="s">
        <v>2170</v>
      </c>
      <c r="B43" s="2448" t="s">
        <v>2434</v>
      </c>
      <c r="C43" s="1735" t="s">
        <v>2223</v>
      </c>
      <c r="D43" s="1735" t="s">
        <v>2224</v>
      </c>
      <c r="E43" s="1735" t="s">
        <v>2225</v>
      </c>
      <c r="F43" s="1735" t="s">
        <v>2226</v>
      </c>
      <c r="G43" s="1735" t="s">
        <v>2227</v>
      </c>
      <c r="H43" s="1735" t="s">
        <v>2228</v>
      </c>
      <c r="I43" s="1735" t="s">
        <v>2229</v>
      </c>
    </row>
    <row r="44" spans="1:11">
      <c r="A44" s="2449"/>
      <c r="B44" s="2449"/>
      <c r="C44" s="2448" t="s">
        <v>2172</v>
      </c>
      <c r="D44" s="2448" t="s">
        <v>2465</v>
      </c>
      <c r="E44" s="2448" t="s">
        <v>2172</v>
      </c>
      <c r="F44" s="2448" t="s">
        <v>2172</v>
      </c>
      <c r="G44" s="2448" t="s">
        <v>2230</v>
      </c>
      <c r="H44" s="2448" t="s">
        <v>2231</v>
      </c>
      <c r="I44" s="2448" t="s">
        <v>2173</v>
      </c>
    </row>
    <row r="45" spans="1:11" ht="22.2" customHeight="1" thickBot="1">
      <c r="A45" s="2449"/>
      <c r="B45" s="2449"/>
      <c r="C45" s="2455"/>
      <c r="D45" s="2450"/>
      <c r="E45" s="2450"/>
      <c r="F45" s="2450"/>
      <c r="G45" s="2450"/>
      <c r="H45" s="2450"/>
      <c r="I45" s="2450"/>
    </row>
    <row r="46" spans="1:11" ht="30.6" thickBot="1">
      <c r="A46" s="2449"/>
      <c r="B46" s="2449"/>
      <c r="C46" s="975"/>
      <c r="D46" s="975" t="s">
        <v>2232</v>
      </c>
      <c r="E46" s="975"/>
      <c r="F46" s="975"/>
      <c r="G46" s="975" t="s">
        <v>2232</v>
      </c>
      <c r="H46" s="975" t="s">
        <v>2232</v>
      </c>
      <c r="I46" s="975" t="s">
        <v>2233</v>
      </c>
      <c r="J46" s="1714" t="s">
        <v>2433</v>
      </c>
    </row>
    <row r="47" spans="1:11" ht="15" thickBot="1">
      <c r="A47" s="2454"/>
      <c r="B47" s="2454"/>
      <c r="C47" s="87" t="s">
        <v>2234</v>
      </c>
      <c r="D47" s="87" t="s">
        <v>2235</v>
      </c>
      <c r="E47" s="87" t="s">
        <v>2236</v>
      </c>
      <c r="F47" s="87" t="s">
        <v>2237</v>
      </c>
      <c r="G47" s="87" t="s">
        <v>2238</v>
      </c>
      <c r="H47" s="87" t="s">
        <v>2239</v>
      </c>
      <c r="I47" s="87" t="s">
        <v>2240</v>
      </c>
      <c r="J47" s="1720" t="s">
        <v>2538</v>
      </c>
    </row>
    <row r="48" spans="1:11" ht="16.95" customHeight="1" thickTop="1" thickBot="1">
      <c r="A48" s="1311" t="s">
        <v>1339</v>
      </c>
      <c r="B48" s="1712"/>
      <c r="C48" s="1721">
        <f>E15+E19</f>
        <v>0</v>
      </c>
      <c r="D48" s="985">
        <v>0.1</v>
      </c>
      <c r="E48" s="1721">
        <f>E16+E20</f>
        <v>0</v>
      </c>
      <c r="F48" s="1721">
        <f>SUM(G35:G36)</f>
        <v>0</v>
      </c>
      <c r="G48" s="985">
        <v>0.2</v>
      </c>
      <c r="H48" s="985">
        <v>0.01</v>
      </c>
      <c r="I48" s="1391">
        <f>((C48*D48)+((E48+F48)*G48))*H48</f>
        <v>0</v>
      </c>
      <c r="J48" s="1545">
        <f>(I48*(44/28)*GPC!$F$87)/1000</f>
        <v>0</v>
      </c>
    </row>
    <row r="49" spans="1:11" ht="13.8" thickBot="1">
      <c r="A49" s="1311" t="s">
        <v>1341</v>
      </c>
      <c r="B49" s="1554"/>
      <c r="C49" s="1555"/>
      <c r="D49" s="1556"/>
      <c r="E49" s="1557"/>
      <c r="F49" s="1558"/>
      <c r="G49" s="1558"/>
      <c r="H49" s="1558"/>
      <c r="I49" s="1559"/>
      <c r="J49" s="1562"/>
    </row>
    <row r="50" spans="1:11" ht="13.8" thickBot="1">
      <c r="A50" s="1311" t="s">
        <v>2169</v>
      </c>
      <c r="B50" s="1554"/>
      <c r="C50" s="1558"/>
      <c r="D50" s="1556"/>
      <c r="E50" s="1556"/>
      <c r="F50" s="1556"/>
      <c r="G50" s="1556"/>
      <c r="H50" s="1556"/>
      <c r="I50" s="1559"/>
      <c r="J50" s="1562"/>
    </row>
    <row r="51" spans="1:11" ht="13.8" thickBot="1">
      <c r="A51" s="1313" t="s">
        <v>250</v>
      </c>
      <c r="B51" s="1547"/>
      <c r="C51" s="1312"/>
      <c r="D51" s="1312"/>
      <c r="E51" s="1312"/>
      <c r="F51" s="1312"/>
      <c r="G51" s="1312"/>
      <c r="H51" s="1312"/>
      <c r="I51" s="1559"/>
      <c r="J51" s="1545">
        <f>SUM(J48:J50)</f>
        <v>0</v>
      </c>
    </row>
    <row r="53" spans="1:11" ht="15" thickBot="1">
      <c r="A53" s="171" t="s">
        <v>2464</v>
      </c>
    </row>
    <row r="54" spans="1:11" ht="80.400000000000006" thickBot="1">
      <c r="A54" s="2448" t="s">
        <v>2170</v>
      </c>
      <c r="B54" s="2448" t="s">
        <v>2434</v>
      </c>
      <c r="C54" s="1735" t="s">
        <v>2223</v>
      </c>
      <c r="D54" s="1735" t="s">
        <v>2225</v>
      </c>
      <c r="E54" s="1735" t="s">
        <v>2226</v>
      </c>
      <c r="F54" s="1735" t="s">
        <v>2241</v>
      </c>
      <c r="G54" s="1735" t="s">
        <v>2242</v>
      </c>
      <c r="H54" s="1735" t="s">
        <v>2243</v>
      </c>
      <c r="I54" s="1735" t="s">
        <v>2244</v>
      </c>
      <c r="J54" s="1735" t="s">
        <v>2245</v>
      </c>
    </row>
    <row r="55" spans="1:11" ht="15">
      <c r="A55" s="2449"/>
      <c r="B55" s="2449"/>
      <c r="C55" s="2448" t="s">
        <v>2172</v>
      </c>
      <c r="D55" s="2448" t="s">
        <v>2172</v>
      </c>
      <c r="E55" s="2448" t="s">
        <v>2172</v>
      </c>
      <c r="F55" s="2448" t="s">
        <v>2172</v>
      </c>
      <c r="G55" s="2448" t="s">
        <v>2172</v>
      </c>
      <c r="H55" s="2448" t="s">
        <v>2246</v>
      </c>
      <c r="I55" s="874" t="s">
        <v>2247</v>
      </c>
      <c r="J55" s="2448" t="s">
        <v>2248</v>
      </c>
    </row>
    <row r="56" spans="1:11">
      <c r="A56" s="2449"/>
      <c r="B56" s="2449"/>
      <c r="C56" s="2449"/>
      <c r="D56" s="2449"/>
      <c r="E56" s="2449"/>
      <c r="F56" s="2449"/>
      <c r="G56" s="2449"/>
      <c r="H56" s="2449"/>
      <c r="I56" s="874" t="s">
        <v>2249</v>
      </c>
      <c r="J56" s="2449"/>
    </row>
    <row r="57" spans="1:11" ht="13.8" thickBot="1">
      <c r="A57" s="2449"/>
      <c r="B57" s="2449"/>
      <c r="C57" s="2450"/>
      <c r="D57" s="2450"/>
      <c r="E57" s="2450"/>
      <c r="F57" s="2450"/>
      <c r="G57" s="2450"/>
      <c r="H57" s="2450"/>
      <c r="I57" s="975" t="s">
        <v>2250</v>
      </c>
      <c r="J57" s="2450"/>
    </row>
    <row r="58" spans="1:11" ht="45.6" thickBot="1">
      <c r="A58" s="2449"/>
      <c r="B58" s="2449"/>
      <c r="C58" s="979"/>
      <c r="D58" s="979"/>
      <c r="E58" s="979"/>
      <c r="F58" s="979"/>
      <c r="G58" s="979"/>
      <c r="H58" s="979" t="s">
        <v>2232</v>
      </c>
      <c r="I58" s="979" t="s">
        <v>2232</v>
      </c>
      <c r="J58" s="979" t="s">
        <v>2251</v>
      </c>
      <c r="K58" s="1714" t="s">
        <v>2433</v>
      </c>
    </row>
    <row r="59" spans="1:11" ht="15" thickBot="1">
      <c r="A59" s="2454"/>
      <c r="B59" s="2454"/>
      <c r="C59" s="87" t="s">
        <v>2234</v>
      </c>
      <c r="D59" s="87" t="s">
        <v>2236</v>
      </c>
      <c r="E59" s="87" t="s">
        <v>2237</v>
      </c>
      <c r="F59" s="87" t="s">
        <v>2252</v>
      </c>
      <c r="G59" s="87" t="s">
        <v>2253</v>
      </c>
      <c r="H59" s="87" t="s">
        <v>2254</v>
      </c>
      <c r="I59" s="87" t="s">
        <v>2255</v>
      </c>
      <c r="J59" s="87" t="s">
        <v>2256</v>
      </c>
      <c r="K59" s="1720" t="s">
        <v>2538</v>
      </c>
    </row>
    <row r="60" spans="1:11" ht="16.95" customHeight="1" thickTop="1" thickBot="1">
      <c r="A60" s="1311" t="s">
        <v>1339</v>
      </c>
      <c r="B60" s="1712"/>
      <c r="C60" s="1721">
        <f>E15+E19</f>
        <v>0</v>
      </c>
      <c r="D60" s="1721">
        <f>E16+E20</f>
        <v>0</v>
      </c>
      <c r="E60" s="1721">
        <f>F48</f>
        <v>0</v>
      </c>
      <c r="F60" s="1721">
        <f>E17+E21</f>
        <v>0</v>
      </c>
      <c r="G60" s="1721">
        <f>E18+E22</f>
        <v>0</v>
      </c>
      <c r="H60" s="985">
        <v>0.3</v>
      </c>
      <c r="I60" s="985">
        <v>7.4999999999999997E-3</v>
      </c>
      <c r="J60" s="1337">
        <f>(C60+D60+E60+F60+G60)*H60*I60</f>
        <v>0</v>
      </c>
      <c r="K60" s="1545">
        <f>(J60*(44/28)*GPC!$F$87)/1000</f>
        <v>0</v>
      </c>
    </row>
    <row r="61" spans="1:11" ht="16.95" customHeight="1" thickBot="1">
      <c r="A61" s="1311" t="s">
        <v>1341</v>
      </c>
      <c r="B61" s="1554"/>
      <c r="C61" s="1558"/>
      <c r="D61" s="1558"/>
      <c r="E61" s="1558"/>
      <c r="F61" s="1558"/>
      <c r="G61" s="1558"/>
      <c r="H61" s="1558"/>
      <c r="I61" s="1558"/>
      <c r="J61" s="1560"/>
      <c r="K61" s="1562"/>
    </row>
    <row r="62" spans="1:11" ht="16.95" customHeight="1" thickBot="1">
      <c r="A62" s="1311" t="s">
        <v>2169</v>
      </c>
      <c r="B62" s="1554"/>
      <c r="C62" s="1558"/>
      <c r="D62" s="1556"/>
      <c r="E62" s="1556"/>
      <c r="F62" s="1556"/>
      <c r="G62" s="1556"/>
      <c r="H62" s="1556"/>
      <c r="I62" s="1556"/>
      <c r="J62" s="1560"/>
      <c r="K62" s="1562"/>
    </row>
    <row r="63" spans="1:11" ht="16.95" customHeight="1" thickBot="1">
      <c r="A63" s="1313" t="s">
        <v>250</v>
      </c>
      <c r="B63" s="1547"/>
      <c r="C63" s="1561"/>
      <c r="D63" s="1561"/>
      <c r="E63" s="1561"/>
      <c r="F63" s="1561"/>
      <c r="G63" s="1561"/>
      <c r="H63" s="1561"/>
      <c r="I63" s="1561"/>
      <c r="J63" s="1560"/>
      <c r="K63" s="1545">
        <f>SUM(K60:K62)</f>
        <v>0</v>
      </c>
    </row>
  </sheetData>
  <mergeCells count="52">
    <mergeCell ref="G19:G22"/>
    <mergeCell ref="F19:F22"/>
    <mergeCell ref="A38:I38"/>
    <mergeCell ref="H11:H12"/>
    <mergeCell ref="D13:E13"/>
    <mergeCell ref="F13:G13"/>
    <mergeCell ref="D14:E14"/>
    <mergeCell ref="F14:G14"/>
    <mergeCell ref="A15:A18"/>
    <mergeCell ref="F15:F18"/>
    <mergeCell ref="A10:B14"/>
    <mergeCell ref="D10:E10"/>
    <mergeCell ref="F10:G10"/>
    <mergeCell ref="D11:E12"/>
    <mergeCell ref="F11:G12"/>
    <mergeCell ref="G15:G18"/>
    <mergeCell ref="C10:C14"/>
    <mergeCell ref="J55:J57"/>
    <mergeCell ref="A54:A59"/>
    <mergeCell ref="C55:C57"/>
    <mergeCell ref="D55:D57"/>
    <mergeCell ref="A19:A22"/>
    <mergeCell ref="A25:B29"/>
    <mergeCell ref="D26:D27"/>
    <mergeCell ref="F26:F27"/>
    <mergeCell ref="A23:D23"/>
    <mergeCell ref="C25:C29"/>
    <mergeCell ref="G55:G57"/>
    <mergeCell ref="G26:G27"/>
    <mergeCell ref="I26:I27"/>
    <mergeCell ref="A30:A34"/>
    <mergeCell ref="A35:A36"/>
    <mergeCell ref="A37:B37"/>
    <mergeCell ref="H55:H57"/>
    <mergeCell ref="A39:I39"/>
    <mergeCell ref="A43:A47"/>
    <mergeCell ref="C44:C45"/>
    <mergeCell ref="D44:D45"/>
    <mergeCell ref="E44:E45"/>
    <mergeCell ref="F44:F45"/>
    <mergeCell ref="G44:G45"/>
    <mergeCell ref="H44:H45"/>
    <mergeCell ref="I44:I45"/>
    <mergeCell ref="E55:E57"/>
    <mergeCell ref="F55:F57"/>
    <mergeCell ref="B43:B47"/>
    <mergeCell ref="B54:B59"/>
    <mergeCell ref="K30:K37"/>
    <mergeCell ref="H15:H18"/>
    <mergeCell ref="H19:H22"/>
    <mergeCell ref="I15:I18"/>
    <mergeCell ref="I19:I22"/>
  </mergeCell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'V.1 Livestock'!$T$11:$T$14</xm:f>
          </x14:formula1>
          <xm:sqref>C15:C22 C30:C36 B48:B50 B60:B62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theme="2" tint="-0.499984740745262"/>
  </sheetPr>
  <dimension ref="A1:AJ268"/>
  <sheetViews>
    <sheetView zoomScale="85" zoomScaleNormal="85" workbookViewId="0">
      <selection activeCell="K60" sqref="K60"/>
    </sheetView>
  </sheetViews>
  <sheetFormatPr defaultColWidth="9" defaultRowHeight="21"/>
  <cols>
    <col min="1" max="1" width="21" style="1" customWidth="1"/>
    <col min="2" max="2" width="21.44140625" style="1" bestFit="1" customWidth="1"/>
    <col min="3" max="11" width="10.44140625" style="1" customWidth="1"/>
    <col min="12" max="12" width="13.44140625" style="1" customWidth="1"/>
    <col min="13" max="13" width="17.44140625" style="1" customWidth="1"/>
    <col min="14" max="14" width="12.44140625" style="1" bestFit="1" customWidth="1"/>
    <col min="15" max="15" width="18.44140625" style="1" bestFit="1" customWidth="1"/>
    <col min="16" max="16" width="10.44140625" style="1" bestFit="1" customWidth="1"/>
    <col min="17" max="17" width="18" style="1" customWidth="1"/>
    <col min="18" max="24" width="22.44140625" style="1" customWidth="1"/>
    <col min="25" max="25" width="41.33203125" style="1" customWidth="1"/>
    <col min="26" max="16384" width="9" style="1"/>
  </cols>
  <sheetData>
    <row r="1" spans="1:25" s="83" customFormat="1" ht="13.8">
      <c r="A1" s="82" t="s">
        <v>575</v>
      </c>
      <c r="B1" s="82"/>
      <c r="C1" s="82"/>
      <c r="D1" s="82"/>
      <c r="E1" s="82"/>
      <c r="F1" s="82"/>
      <c r="G1" s="82"/>
      <c r="H1" s="82"/>
      <c r="I1" s="82"/>
      <c r="J1" s="82"/>
      <c r="K1" s="82"/>
      <c r="L1" s="82"/>
    </row>
    <row r="2" spans="1:25" s="85" customFormat="1" ht="13.8">
      <c r="A2" s="84" t="s">
        <v>1602</v>
      </c>
      <c r="B2" s="84"/>
      <c r="C2" s="84"/>
      <c r="D2" s="84"/>
      <c r="E2" s="84"/>
      <c r="F2" s="84"/>
      <c r="G2" s="84"/>
      <c r="H2" s="84"/>
      <c r="I2" s="84"/>
      <c r="J2" s="84"/>
      <c r="K2" s="84"/>
      <c r="L2" s="84"/>
    </row>
    <row r="3" spans="1:25" s="3" customFormat="1" ht="13.2"/>
    <row r="4" spans="1:25" s="14" customFormat="1" ht="13.8">
      <c r="A4" s="26" t="s">
        <v>1603</v>
      </c>
    </row>
    <row r="5" spans="1:25" s="14" customFormat="1" ht="14.4" thickBot="1">
      <c r="A5" s="14" t="s">
        <v>1604</v>
      </c>
    </row>
    <row r="6" spans="1:25" s="14" customFormat="1" ht="15">
      <c r="A6" s="2527" t="s">
        <v>597</v>
      </c>
      <c r="B6" s="2539"/>
      <c r="C6" s="2543" t="s">
        <v>1605</v>
      </c>
      <c r="D6" s="2541"/>
      <c r="E6" s="2542"/>
      <c r="F6" s="2543" t="s">
        <v>1606</v>
      </c>
      <c r="G6" s="2541"/>
      <c r="H6" s="2542"/>
      <c r="I6" s="2541" t="s">
        <v>1607</v>
      </c>
      <c r="J6" s="2541"/>
      <c r="K6" s="2542"/>
      <c r="M6" s="90" t="s">
        <v>1608</v>
      </c>
      <c r="N6" s="90"/>
      <c r="O6" s="90"/>
      <c r="P6" s="90"/>
      <c r="Q6" s="90"/>
      <c r="R6" s="90"/>
      <c r="S6" s="90"/>
      <c r="T6" s="90"/>
      <c r="U6" s="90"/>
      <c r="V6" s="90"/>
      <c r="W6" s="90"/>
      <c r="X6" s="90"/>
      <c r="Y6" s="90"/>
    </row>
    <row r="7" spans="1:25" s="14" customFormat="1" ht="15" thickBot="1">
      <c r="A7" s="2529"/>
      <c r="B7" s="2540"/>
      <c r="C7" s="27" t="s">
        <v>585</v>
      </c>
      <c r="D7" s="28" t="s">
        <v>586</v>
      </c>
      <c r="E7" s="29" t="s">
        <v>587</v>
      </c>
      <c r="F7" s="27" t="s">
        <v>637</v>
      </c>
      <c r="G7" s="28" t="s">
        <v>586</v>
      </c>
      <c r="H7" s="29" t="s">
        <v>587</v>
      </c>
      <c r="I7" s="30" t="s">
        <v>637</v>
      </c>
      <c r="J7" s="28" t="s">
        <v>586</v>
      </c>
      <c r="K7" s="29" t="s">
        <v>587</v>
      </c>
      <c r="M7" s="2498" t="s">
        <v>1321</v>
      </c>
      <c r="N7" s="2498" t="s">
        <v>1609</v>
      </c>
      <c r="O7" s="2499" t="s">
        <v>1610</v>
      </c>
      <c r="P7" s="2499" t="s">
        <v>1611</v>
      </c>
      <c r="Q7" s="2498" t="s">
        <v>1612</v>
      </c>
      <c r="R7" s="2498"/>
      <c r="S7" s="2498" t="s">
        <v>1613</v>
      </c>
      <c r="T7" s="2498"/>
      <c r="U7" s="2498" t="s">
        <v>728</v>
      </c>
      <c r="V7" s="2498"/>
      <c r="W7" s="2498" t="s">
        <v>1614</v>
      </c>
      <c r="X7" s="2498"/>
      <c r="Y7" s="2499" t="s">
        <v>1615</v>
      </c>
    </row>
    <row r="8" spans="1:25" s="14" customFormat="1" ht="13.8">
      <c r="A8" s="2525" t="s">
        <v>541</v>
      </c>
      <c r="B8" s="2538"/>
      <c r="C8" s="31">
        <v>73300</v>
      </c>
      <c r="D8" s="32">
        <v>71100</v>
      </c>
      <c r="E8" s="33">
        <v>75500</v>
      </c>
      <c r="F8" s="31">
        <v>3</v>
      </c>
      <c r="G8" s="32">
        <v>1</v>
      </c>
      <c r="H8" s="33">
        <v>10</v>
      </c>
      <c r="I8" s="34">
        <v>0.6</v>
      </c>
      <c r="J8" s="32">
        <v>0.2</v>
      </c>
      <c r="K8" s="33">
        <v>2</v>
      </c>
      <c r="M8" s="2498"/>
      <c r="N8" s="2498"/>
      <c r="O8" s="2499"/>
      <c r="P8" s="2499"/>
      <c r="Q8" s="92" t="s">
        <v>823</v>
      </c>
      <c r="R8" s="93" t="s">
        <v>1616</v>
      </c>
      <c r="S8" s="92" t="s">
        <v>823</v>
      </c>
      <c r="T8" s="93" t="s">
        <v>1616</v>
      </c>
      <c r="U8" s="92" t="s">
        <v>823</v>
      </c>
      <c r="V8" s="93" t="s">
        <v>1616</v>
      </c>
      <c r="W8" s="92" t="s">
        <v>823</v>
      </c>
      <c r="X8" s="93" t="s">
        <v>1616</v>
      </c>
      <c r="Y8" s="2499"/>
    </row>
    <row r="9" spans="1:25" s="14" customFormat="1" ht="14.4">
      <c r="A9" s="2516" t="s">
        <v>1617</v>
      </c>
      <c r="B9" s="2537"/>
      <c r="C9" s="35">
        <v>77000</v>
      </c>
      <c r="D9" s="36">
        <v>69300</v>
      </c>
      <c r="E9" s="37">
        <v>85400</v>
      </c>
      <c r="F9" s="35">
        <v>3</v>
      </c>
      <c r="G9" s="36">
        <v>1</v>
      </c>
      <c r="H9" s="37">
        <v>10</v>
      </c>
      <c r="I9" s="38">
        <v>0.6</v>
      </c>
      <c r="J9" s="36">
        <v>0.2</v>
      </c>
      <c r="K9" s="37">
        <v>2</v>
      </c>
      <c r="M9" s="2497" t="s">
        <v>1618</v>
      </c>
      <c r="N9" s="2497" t="s">
        <v>1619</v>
      </c>
      <c r="O9" s="95" t="s">
        <v>1620</v>
      </c>
      <c r="P9" s="95" t="s">
        <v>1621</v>
      </c>
      <c r="Q9" s="883" t="s">
        <v>1622</v>
      </c>
      <c r="R9" s="96" t="s">
        <v>1623</v>
      </c>
      <c r="S9" s="883" t="s">
        <v>1624</v>
      </c>
      <c r="T9" s="96" t="s">
        <v>1623</v>
      </c>
      <c r="U9" s="883" t="s">
        <v>1625</v>
      </c>
      <c r="V9" s="96" t="s">
        <v>1623</v>
      </c>
      <c r="W9" s="96" t="s">
        <v>1626</v>
      </c>
      <c r="X9" s="96" t="s">
        <v>1626</v>
      </c>
      <c r="Y9" s="94" t="s">
        <v>1627</v>
      </c>
    </row>
    <row r="10" spans="1:25" s="14" customFormat="1" ht="14.4">
      <c r="A10" s="2516" t="s">
        <v>1628</v>
      </c>
      <c r="B10" s="2531"/>
      <c r="C10" s="35">
        <v>64200</v>
      </c>
      <c r="D10" s="36">
        <v>58300</v>
      </c>
      <c r="E10" s="37">
        <v>70400</v>
      </c>
      <c r="F10" s="35">
        <v>3</v>
      </c>
      <c r="G10" s="36">
        <v>1</v>
      </c>
      <c r="H10" s="37">
        <v>10</v>
      </c>
      <c r="I10" s="38">
        <v>0.6</v>
      </c>
      <c r="J10" s="36">
        <v>0.2</v>
      </c>
      <c r="K10" s="37">
        <v>2</v>
      </c>
      <c r="M10" s="2497"/>
      <c r="N10" s="2497"/>
      <c r="O10" s="94" t="s">
        <v>1629</v>
      </c>
      <c r="P10" s="95" t="s">
        <v>1621</v>
      </c>
      <c r="Q10" s="97">
        <v>5.8999999999999996E-7</v>
      </c>
      <c r="R10" s="96" t="s">
        <v>1623</v>
      </c>
      <c r="S10" s="97">
        <v>4.3000000000000001E-8</v>
      </c>
      <c r="T10" s="96" t="s">
        <v>1623</v>
      </c>
      <c r="U10" s="97">
        <v>7.4000000000000001E-7</v>
      </c>
      <c r="V10" s="96" t="s">
        <v>1623</v>
      </c>
      <c r="W10" s="96" t="s">
        <v>1626</v>
      </c>
      <c r="X10" s="96" t="s">
        <v>1626</v>
      </c>
      <c r="Y10" s="94" t="s">
        <v>1627</v>
      </c>
    </row>
    <row r="11" spans="1:25" s="14" customFormat="1" ht="14.4">
      <c r="A11" s="2513" t="s">
        <v>384</v>
      </c>
      <c r="B11" s="879" t="s">
        <v>1630</v>
      </c>
      <c r="C11" s="35">
        <v>69300</v>
      </c>
      <c r="D11" s="36">
        <v>67500</v>
      </c>
      <c r="E11" s="37">
        <v>73000</v>
      </c>
      <c r="F11" s="35">
        <v>3</v>
      </c>
      <c r="G11" s="36">
        <v>1</v>
      </c>
      <c r="H11" s="37">
        <v>10</v>
      </c>
      <c r="I11" s="38">
        <v>0.6</v>
      </c>
      <c r="J11" s="36">
        <v>0.2</v>
      </c>
      <c r="K11" s="37">
        <v>2</v>
      </c>
      <c r="M11" s="2497"/>
      <c r="N11" s="2497"/>
      <c r="O11" s="95" t="s">
        <v>1631</v>
      </c>
      <c r="P11" s="95" t="s">
        <v>1632</v>
      </c>
      <c r="Q11" s="97">
        <v>7.2000000000000005E-4</v>
      </c>
      <c r="R11" s="96" t="s">
        <v>1633</v>
      </c>
      <c r="S11" s="97">
        <v>9.5000000000000005E-5</v>
      </c>
      <c r="T11" s="96" t="s">
        <v>1633</v>
      </c>
      <c r="U11" s="97">
        <v>4.2999999999999999E-4</v>
      </c>
      <c r="V11" s="96" t="s">
        <v>1633</v>
      </c>
      <c r="W11" s="96" t="s">
        <v>1626</v>
      </c>
      <c r="X11" s="96" t="s">
        <v>1626</v>
      </c>
      <c r="Y11" s="94" t="s">
        <v>1627</v>
      </c>
    </row>
    <row r="12" spans="1:25" s="14" customFormat="1" ht="14.4">
      <c r="A12" s="2514"/>
      <c r="B12" s="879" t="s">
        <v>1634</v>
      </c>
      <c r="C12" s="35">
        <v>70000</v>
      </c>
      <c r="D12" s="36">
        <v>67500</v>
      </c>
      <c r="E12" s="37">
        <v>73000</v>
      </c>
      <c r="F12" s="35">
        <v>3</v>
      </c>
      <c r="G12" s="36">
        <v>1</v>
      </c>
      <c r="H12" s="37">
        <v>10</v>
      </c>
      <c r="I12" s="38">
        <v>0.6</v>
      </c>
      <c r="J12" s="36">
        <v>0.2</v>
      </c>
      <c r="K12" s="37">
        <v>2</v>
      </c>
      <c r="M12" s="2497"/>
      <c r="N12" s="2497"/>
      <c r="O12" s="95" t="s">
        <v>1635</v>
      </c>
      <c r="P12" s="95" t="s">
        <v>1636</v>
      </c>
      <c r="Q12" s="97">
        <v>2.5000000000000001E-5</v>
      </c>
      <c r="R12" s="96" t="s">
        <v>1633</v>
      </c>
      <c r="S12" s="97">
        <v>4.1000000000000002E-2</v>
      </c>
      <c r="T12" s="96" t="s">
        <v>1633</v>
      </c>
      <c r="U12" s="97">
        <v>2.0999999999999999E-5</v>
      </c>
      <c r="V12" s="96" t="s">
        <v>1633</v>
      </c>
      <c r="W12" s="97">
        <v>6.4000000000000001E-7</v>
      </c>
      <c r="X12" s="98" t="s">
        <v>1637</v>
      </c>
      <c r="Y12" s="94" t="s">
        <v>1627</v>
      </c>
    </row>
    <row r="13" spans="1:25" s="14" customFormat="1" ht="13.8">
      <c r="A13" s="2515"/>
      <c r="B13" s="879" t="s">
        <v>1638</v>
      </c>
      <c r="C13" s="35">
        <v>70000</v>
      </c>
      <c r="D13" s="36">
        <v>67500</v>
      </c>
      <c r="E13" s="37">
        <v>73000</v>
      </c>
      <c r="F13" s="35">
        <v>3</v>
      </c>
      <c r="G13" s="36">
        <v>1</v>
      </c>
      <c r="H13" s="37">
        <v>10</v>
      </c>
      <c r="I13" s="38">
        <v>0.6</v>
      </c>
      <c r="J13" s="36">
        <v>0.2</v>
      </c>
      <c r="K13" s="37">
        <v>2</v>
      </c>
    </row>
    <row r="14" spans="1:25" s="14" customFormat="1" ht="13.8">
      <c r="A14" s="2518" t="s">
        <v>1639</v>
      </c>
      <c r="B14" s="2531"/>
      <c r="C14" s="35">
        <v>71500</v>
      </c>
      <c r="D14" s="36">
        <v>69700</v>
      </c>
      <c r="E14" s="37">
        <v>74400</v>
      </c>
      <c r="F14" s="35">
        <v>3</v>
      </c>
      <c r="G14" s="36">
        <v>1</v>
      </c>
      <c r="H14" s="37">
        <v>10</v>
      </c>
      <c r="I14" s="38">
        <v>0.6</v>
      </c>
      <c r="J14" s="36">
        <v>0.2</v>
      </c>
      <c r="K14" s="37">
        <v>2</v>
      </c>
    </row>
    <row r="15" spans="1:25" s="14" customFormat="1" ht="13.8">
      <c r="A15" s="2509" t="s">
        <v>711</v>
      </c>
      <c r="B15" s="2535"/>
      <c r="C15" s="1870">
        <v>71900</v>
      </c>
      <c r="D15" s="1871">
        <v>70800</v>
      </c>
      <c r="E15" s="1872">
        <v>73700</v>
      </c>
      <c r="F15" s="1870">
        <v>3</v>
      </c>
      <c r="G15" s="1871">
        <v>1</v>
      </c>
      <c r="H15" s="1872">
        <v>10</v>
      </c>
      <c r="I15" s="1873">
        <v>0.6</v>
      </c>
      <c r="J15" s="1871">
        <v>0.2</v>
      </c>
      <c r="K15" s="1872">
        <v>2</v>
      </c>
    </row>
    <row r="16" spans="1:25" s="14" customFormat="1" ht="13.8">
      <c r="A16" s="2509" t="s">
        <v>1640</v>
      </c>
      <c r="B16" s="2535"/>
      <c r="C16" s="1870">
        <v>73300</v>
      </c>
      <c r="D16" s="1871">
        <v>67800</v>
      </c>
      <c r="E16" s="1872">
        <v>79200</v>
      </c>
      <c r="F16" s="1870">
        <v>3</v>
      </c>
      <c r="G16" s="1871">
        <v>1</v>
      </c>
      <c r="H16" s="1872">
        <v>10</v>
      </c>
      <c r="I16" s="1873">
        <v>0.6</v>
      </c>
      <c r="J16" s="1871">
        <v>0.2</v>
      </c>
      <c r="K16" s="1872">
        <v>2</v>
      </c>
    </row>
    <row r="17" spans="1:11" s="14" customFormat="1" ht="13.8">
      <c r="A17" s="2509" t="s">
        <v>713</v>
      </c>
      <c r="B17" s="2535"/>
      <c r="C17" s="1870">
        <v>74100</v>
      </c>
      <c r="D17" s="1871">
        <v>72600</v>
      </c>
      <c r="E17" s="1872">
        <v>74800</v>
      </c>
      <c r="F17" s="1870">
        <v>3</v>
      </c>
      <c r="G17" s="1871">
        <v>1</v>
      </c>
      <c r="H17" s="1872">
        <v>10</v>
      </c>
      <c r="I17" s="1873">
        <v>0.6</v>
      </c>
      <c r="J17" s="1871">
        <v>0.2</v>
      </c>
      <c r="K17" s="1872">
        <v>2</v>
      </c>
    </row>
    <row r="18" spans="1:11" s="14" customFormat="1" ht="13.8">
      <c r="A18" s="2509" t="s">
        <v>715</v>
      </c>
      <c r="B18" s="2535"/>
      <c r="C18" s="1870">
        <v>77400</v>
      </c>
      <c r="D18" s="1871">
        <v>75500</v>
      </c>
      <c r="E18" s="1872">
        <v>78800</v>
      </c>
      <c r="F18" s="1870">
        <v>3</v>
      </c>
      <c r="G18" s="1871">
        <v>1</v>
      </c>
      <c r="H18" s="1872">
        <v>10</v>
      </c>
      <c r="I18" s="1873">
        <v>0.6</v>
      </c>
      <c r="J18" s="1871">
        <v>0.2</v>
      </c>
      <c r="K18" s="1872">
        <v>2</v>
      </c>
    </row>
    <row r="19" spans="1:11" s="14" customFormat="1" ht="13.8">
      <c r="A19" s="2509" t="s">
        <v>718</v>
      </c>
      <c r="B19" s="2535"/>
      <c r="C19" s="1870">
        <v>63100</v>
      </c>
      <c r="D19" s="1871">
        <v>61600</v>
      </c>
      <c r="E19" s="1872">
        <v>65600</v>
      </c>
      <c r="F19" s="1870">
        <v>1</v>
      </c>
      <c r="G19" s="1871">
        <v>0.3</v>
      </c>
      <c r="H19" s="1872">
        <v>3</v>
      </c>
      <c r="I19" s="1873">
        <v>0.1</v>
      </c>
      <c r="J19" s="1871">
        <v>0.03</v>
      </c>
      <c r="K19" s="1872">
        <v>0.3</v>
      </c>
    </row>
    <row r="20" spans="1:11" s="14" customFormat="1" ht="13.8">
      <c r="A20" s="2509" t="s">
        <v>1641</v>
      </c>
      <c r="B20" s="2535"/>
      <c r="C20" s="1870">
        <v>61600</v>
      </c>
      <c r="D20" s="1871">
        <v>56500</v>
      </c>
      <c r="E20" s="1872">
        <v>68600</v>
      </c>
      <c r="F20" s="1870">
        <v>1</v>
      </c>
      <c r="G20" s="1871">
        <v>0.3</v>
      </c>
      <c r="H20" s="1872">
        <v>3</v>
      </c>
      <c r="I20" s="1873">
        <v>0.1</v>
      </c>
      <c r="J20" s="1871">
        <v>0.03</v>
      </c>
      <c r="K20" s="1872">
        <v>0.3</v>
      </c>
    </row>
    <row r="21" spans="1:11" s="14" customFormat="1" ht="13.8">
      <c r="A21" s="2509" t="s">
        <v>1642</v>
      </c>
      <c r="B21" s="2535"/>
      <c r="C21" s="1870">
        <v>73300</v>
      </c>
      <c r="D21" s="1871">
        <v>69300</v>
      </c>
      <c r="E21" s="1872">
        <v>76300</v>
      </c>
      <c r="F21" s="1870">
        <v>3</v>
      </c>
      <c r="G21" s="1871">
        <v>1</v>
      </c>
      <c r="H21" s="1872">
        <v>10</v>
      </c>
      <c r="I21" s="1873">
        <v>0.6</v>
      </c>
      <c r="J21" s="1871">
        <v>0.2</v>
      </c>
      <c r="K21" s="1872">
        <v>2</v>
      </c>
    </row>
    <row r="22" spans="1:11" s="14" customFormat="1" ht="13.8">
      <c r="A22" s="2509" t="s">
        <v>1643</v>
      </c>
      <c r="B22" s="2535"/>
      <c r="C22" s="1870">
        <v>80700</v>
      </c>
      <c r="D22" s="1871">
        <v>73000</v>
      </c>
      <c r="E22" s="1872">
        <v>89900</v>
      </c>
      <c r="F22" s="1870">
        <v>3</v>
      </c>
      <c r="G22" s="1871">
        <v>1</v>
      </c>
      <c r="H22" s="1872">
        <v>10</v>
      </c>
      <c r="I22" s="1873">
        <v>0.6</v>
      </c>
      <c r="J22" s="1871">
        <v>0.2</v>
      </c>
      <c r="K22" s="1872">
        <v>2</v>
      </c>
    </row>
    <row r="23" spans="1:11" s="14" customFormat="1" ht="13.8">
      <c r="A23" s="2509" t="s">
        <v>1644</v>
      </c>
      <c r="B23" s="2535"/>
      <c r="C23" s="1870">
        <v>73300</v>
      </c>
      <c r="D23" s="1871">
        <v>71900</v>
      </c>
      <c r="E23" s="740">
        <v>75200</v>
      </c>
      <c r="F23" s="1870">
        <v>3</v>
      </c>
      <c r="G23" s="1871">
        <v>1</v>
      </c>
      <c r="H23" s="1872">
        <v>10</v>
      </c>
      <c r="I23" s="1873">
        <v>0.6</v>
      </c>
      <c r="J23" s="1871">
        <v>0.2</v>
      </c>
      <c r="K23" s="1872">
        <v>2</v>
      </c>
    </row>
    <row r="24" spans="1:11" s="14" customFormat="1" ht="13.8">
      <c r="A24" s="2509" t="s">
        <v>1645</v>
      </c>
      <c r="B24" s="2535"/>
      <c r="C24" s="1870">
        <v>97500</v>
      </c>
      <c r="D24" s="1871">
        <v>82900</v>
      </c>
      <c r="E24" s="1872">
        <v>115000</v>
      </c>
      <c r="F24" s="1870">
        <v>3</v>
      </c>
      <c r="G24" s="1871">
        <v>1</v>
      </c>
      <c r="H24" s="1872">
        <v>10</v>
      </c>
      <c r="I24" s="1873">
        <v>0.6</v>
      </c>
      <c r="J24" s="1871">
        <v>0.2</v>
      </c>
      <c r="K24" s="1872">
        <v>2</v>
      </c>
    </row>
    <row r="25" spans="1:11" s="14" customFormat="1" ht="13.8">
      <c r="A25" s="2511" t="s">
        <v>1646</v>
      </c>
      <c r="B25" s="2535"/>
      <c r="C25" s="1870">
        <v>73300</v>
      </c>
      <c r="D25" s="1871">
        <v>68900</v>
      </c>
      <c r="E25" s="1872">
        <v>76600</v>
      </c>
      <c r="F25" s="1870">
        <v>3</v>
      </c>
      <c r="G25" s="1871">
        <v>1</v>
      </c>
      <c r="H25" s="1872">
        <v>10</v>
      </c>
      <c r="I25" s="1873">
        <v>0.6</v>
      </c>
      <c r="J25" s="1871">
        <v>0.2</v>
      </c>
      <c r="K25" s="1872">
        <v>2</v>
      </c>
    </row>
    <row r="26" spans="1:11" s="14" customFormat="1" ht="13.8">
      <c r="A26" s="2513" t="s">
        <v>724</v>
      </c>
      <c r="B26" s="39" t="s">
        <v>725</v>
      </c>
      <c r="C26" s="1870">
        <v>57600</v>
      </c>
      <c r="D26" s="1871">
        <v>48200</v>
      </c>
      <c r="E26" s="1872">
        <v>69000</v>
      </c>
      <c r="F26" s="1870">
        <v>1</v>
      </c>
      <c r="G26" s="1871">
        <v>0.3</v>
      </c>
      <c r="H26" s="1872">
        <v>3</v>
      </c>
      <c r="I26" s="1873">
        <v>0.1</v>
      </c>
      <c r="J26" s="1871">
        <v>0.03</v>
      </c>
      <c r="K26" s="1872">
        <v>0.3</v>
      </c>
    </row>
    <row r="27" spans="1:11" s="14" customFormat="1" ht="13.8">
      <c r="A27" s="2514"/>
      <c r="B27" s="39" t="s">
        <v>729</v>
      </c>
      <c r="C27" s="1870">
        <v>73300</v>
      </c>
      <c r="D27" s="1871">
        <v>72200</v>
      </c>
      <c r="E27" s="1872">
        <v>74400</v>
      </c>
      <c r="F27" s="1870">
        <v>3</v>
      </c>
      <c r="G27" s="1871">
        <v>1</v>
      </c>
      <c r="H27" s="1872">
        <v>10</v>
      </c>
      <c r="I27" s="1873">
        <v>0.6</v>
      </c>
      <c r="J27" s="1871">
        <v>0.2</v>
      </c>
      <c r="K27" s="1872">
        <v>2</v>
      </c>
    </row>
    <row r="28" spans="1:11" s="14" customFormat="1" ht="13.8">
      <c r="A28" s="2514"/>
      <c r="B28" s="39" t="s">
        <v>1647</v>
      </c>
      <c r="C28" s="1870">
        <v>73300</v>
      </c>
      <c r="D28" s="1871">
        <v>72200</v>
      </c>
      <c r="E28" s="1872">
        <v>74400</v>
      </c>
      <c r="F28" s="1870">
        <v>3</v>
      </c>
      <c r="G28" s="1871">
        <v>1</v>
      </c>
      <c r="H28" s="1872">
        <v>10</v>
      </c>
      <c r="I28" s="1873">
        <v>0.6</v>
      </c>
      <c r="J28" s="1871">
        <v>0.2</v>
      </c>
      <c r="K28" s="1872">
        <v>2</v>
      </c>
    </row>
    <row r="29" spans="1:11" s="14" customFormat="1" ht="13.8">
      <c r="A29" s="2515"/>
      <c r="B29" s="39" t="s">
        <v>1648</v>
      </c>
      <c r="C29" s="1870">
        <v>73300</v>
      </c>
      <c r="D29" s="1871">
        <v>72200</v>
      </c>
      <c r="E29" s="1872">
        <v>74400</v>
      </c>
      <c r="F29" s="1870">
        <v>3</v>
      </c>
      <c r="G29" s="1871">
        <v>1</v>
      </c>
      <c r="H29" s="1872">
        <v>10</v>
      </c>
      <c r="I29" s="1873">
        <v>0.6</v>
      </c>
      <c r="J29" s="1871">
        <v>0.2</v>
      </c>
      <c r="K29" s="1872">
        <v>2</v>
      </c>
    </row>
    <row r="30" spans="1:11" s="14" customFormat="1" ht="13.8">
      <c r="A30" s="40" t="s">
        <v>1649</v>
      </c>
      <c r="B30" s="41"/>
      <c r="C30" s="35">
        <v>98300</v>
      </c>
      <c r="D30" s="36">
        <v>94600</v>
      </c>
      <c r="E30" s="37">
        <v>101000</v>
      </c>
      <c r="F30" s="35">
        <v>1</v>
      </c>
      <c r="G30" s="36">
        <v>0.3</v>
      </c>
      <c r="H30" s="37">
        <v>3</v>
      </c>
      <c r="I30" s="38">
        <v>1.5</v>
      </c>
      <c r="J30" s="36">
        <v>0.5</v>
      </c>
      <c r="K30" s="37">
        <v>5</v>
      </c>
    </row>
    <row r="31" spans="1:11" s="14" customFormat="1" ht="13.8">
      <c r="A31" s="42" t="s">
        <v>1650</v>
      </c>
      <c r="B31" s="43"/>
      <c r="C31" s="35">
        <v>94600</v>
      </c>
      <c r="D31" s="36">
        <v>87300</v>
      </c>
      <c r="E31" s="37">
        <v>101000</v>
      </c>
      <c r="F31" s="35">
        <v>1</v>
      </c>
      <c r="G31" s="36">
        <v>0.3</v>
      </c>
      <c r="H31" s="37">
        <v>3</v>
      </c>
      <c r="I31" s="38">
        <v>1.5</v>
      </c>
      <c r="J31" s="36">
        <v>0.5</v>
      </c>
      <c r="K31" s="37">
        <v>5</v>
      </c>
    </row>
    <row r="32" spans="1:11" s="14" customFormat="1" ht="13.8">
      <c r="A32" s="42" t="s">
        <v>1651</v>
      </c>
      <c r="B32" s="43"/>
      <c r="C32" s="35">
        <v>94600</v>
      </c>
      <c r="D32" s="36">
        <v>89500</v>
      </c>
      <c r="E32" s="37">
        <v>99700</v>
      </c>
      <c r="F32" s="35">
        <v>1</v>
      </c>
      <c r="G32" s="36">
        <v>0.3</v>
      </c>
      <c r="H32" s="37">
        <v>3</v>
      </c>
      <c r="I32" s="38">
        <v>1.5</v>
      </c>
      <c r="J32" s="36">
        <v>0.5</v>
      </c>
      <c r="K32" s="37">
        <v>5</v>
      </c>
    </row>
    <row r="33" spans="1:11" s="14" customFormat="1" ht="13.8">
      <c r="A33" s="42" t="s">
        <v>1652</v>
      </c>
      <c r="B33" s="43"/>
      <c r="C33" s="35">
        <v>96100</v>
      </c>
      <c r="D33" s="36">
        <v>92800</v>
      </c>
      <c r="E33" s="37">
        <v>100000</v>
      </c>
      <c r="F33" s="35">
        <v>1</v>
      </c>
      <c r="G33" s="36">
        <v>0.3</v>
      </c>
      <c r="H33" s="37">
        <v>3</v>
      </c>
      <c r="I33" s="38">
        <v>1.5</v>
      </c>
      <c r="J33" s="36">
        <v>0.5</v>
      </c>
      <c r="K33" s="37">
        <v>5</v>
      </c>
    </row>
    <row r="34" spans="1:11" s="14" customFormat="1" ht="13.8">
      <c r="A34" s="42" t="s">
        <v>1653</v>
      </c>
      <c r="B34" s="43"/>
      <c r="C34" s="35">
        <v>101000</v>
      </c>
      <c r="D34" s="36">
        <v>90900</v>
      </c>
      <c r="E34" s="37">
        <v>115000</v>
      </c>
      <c r="F34" s="35">
        <v>1</v>
      </c>
      <c r="G34" s="36">
        <v>0.3</v>
      </c>
      <c r="H34" s="37">
        <v>3</v>
      </c>
      <c r="I34" s="38">
        <v>1.5</v>
      </c>
      <c r="J34" s="36">
        <v>0.5</v>
      </c>
      <c r="K34" s="37">
        <v>5</v>
      </c>
    </row>
    <row r="35" spans="1:11" s="14" customFormat="1" ht="13.8">
      <c r="A35" s="42" t="s">
        <v>1654</v>
      </c>
      <c r="B35" s="43"/>
      <c r="C35" s="35">
        <v>107000</v>
      </c>
      <c r="D35" s="36">
        <v>90200</v>
      </c>
      <c r="E35" s="37">
        <v>125000</v>
      </c>
      <c r="F35" s="35">
        <v>1</v>
      </c>
      <c r="G35" s="36">
        <v>0.3</v>
      </c>
      <c r="H35" s="37">
        <v>3</v>
      </c>
      <c r="I35" s="38">
        <v>1.5</v>
      </c>
      <c r="J35" s="36">
        <v>0.5</v>
      </c>
      <c r="K35" s="37">
        <v>5</v>
      </c>
    </row>
    <row r="36" spans="1:11" s="14" customFormat="1" ht="13.8">
      <c r="A36" s="42" t="s">
        <v>1655</v>
      </c>
      <c r="B36" s="43"/>
      <c r="C36" s="35">
        <v>97500</v>
      </c>
      <c r="D36" s="36">
        <v>87300</v>
      </c>
      <c r="E36" s="37">
        <v>109000</v>
      </c>
      <c r="F36" s="35">
        <v>1</v>
      </c>
      <c r="G36" s="36">
        <v>0.3</v>
      </c>
      <c r="H36" s="37">
        <v>3</v>
      </c>
      <c r="I36" s="38">
        <v>1.5</v>
      </c>
      <c r="J36" s="36">
        <v>0.5</v>
      </c>
      <c r="K36" s="37">
        <v>5</v>
      </c>
    </row>
    <row r="37" spans="1:11" s="14" customFormat="1" ht="13.8">
      <c r="A37" s="44" t="s">
        <v>1656</v>
      </c>
      <c r="B37" s="43"/>
      <c r="C37" s="35">
        <v>97500</v>
      </c>
      <c r="D37" s="36">
        <v>87300</v>
      </c>
      <c r="E37" s="37">
        <v>109000</v>
      </c>
      <c r="F37" s="35">
        <v>1</v>
      </c>
      <c r="G37" s="36">
        <v>0.3</v>
      </c>
      <c r="H37" s="37">
        <v>3</v>
      </c>
      <c r="I37" s="38">
        <v>1.5</v>
      </c>
      <c r="J37" s="36">
        <v>0.5</v>
      </c>
      <c r="K37" s="37">
        <v>5</v>
      </c>
    </row>
    <row r="38" spans="1:11" s="14" customFormat="1" ht="27.6">
      <c r="A38" s="2536" t="s">
        <v>531</v>
      </c>
      <c r="B38" s="45" t="s">
        <v>1657</v>
      </c>
      <c r="C38" s="35">
        <v>107000</v>
      </c>
      <c r="D38" s="36">
        <v>95700</v>
      </c>
      <c r="E38" s="37">
        <v>119000</v>
      </c>
      <c r="F38" s="35">
        <v>1</v>
      </c>
      <c r="G38" s="36">
        <v>0.3</v>
      </c>
      <c r="H38" s="37">
        <v>3</v>
      </c>
      <c r="I38" s="38">
        <v>1.5</v>
      </c>
      <c r="J38" s="36">
        <v>0.5</v>
      </c>
      <c r="K38" s="37">
        <v>5</v>
      </c>
    </row>
    <row r="39" spans="1:11" s="14" customFormat="1" ht="13.8">
      <c r="A39" s="2536"/>
      <c r="B39" s="879" t="s">
        <v>1658</v>
      </c>
      <c r="C39" s="35">
        <v>107000</v>
      </c>
      <c r="D39" s="36">
        <v>95700</v>
      </c>
      <c r="E39" s="37">
        <v>119000</v>
      </c>
      <c r="F39" s="35">
        <v>1</v>
      </c>
      <c r="G39" s="36">
        <v>0.3</v>
      </c>
      <c r="H39" s="37">
        <v>3</v>
      </c>
      <c r="I39" s="38">
        <v>0.1</v>
      </c>
      <c r="J39" s="36">
        <v>0.03</v>
      </c>
      <c r="K39" s="37">
        <v>0.3</v>
      </c>
    </row>
    <row r="40" spans="1:11" s="14" customFormat="1" ht="13.8">
      <c r="A40" s="2516" t="s">
        <v>1659</v>
      </c>
      <c r="B40" s="2537"/>
      <c r="C40" s="35">
        <v>80700</v>
      </c>
      <c r="D40" s="36">
        <v>68200</v>
      </c>
      <c r="E40" s="37">
        <v>95300</v>
      </c>
      <c r="F40" s="35">
        <v>1</v>
      </c>
      <c r="G40" s="36">
        <v>0.3</v>
      </c>
      <c r="H40" s="37">
        <v>3</v>
      </c>
      <c r="I40" s="38">
        <v>1.5</v>
      </c>
      <c r="J40" s="36">
        <v>0.5</v>
      </c>
      <c r="K40" s="37">
        <v>5</v>
      </c>
    </row>
    <row r="41" spans="1:11" s="14" customFormat="1" ht="13.8">
      <c r="A41" s="2513" t="s">
        <v>1660</v>
      </c>
      <c r="B41" s="43" t="s">
        <v>1661</v>
      </c>
      <c r="C41" s="35">
        <v>44400</v>
      </c>
      <c r="D41" s="36">
        <v>37300</v>
      </c>
      <c r="E41" s="37">
        <v>54100</v>
      </c>
      <c r="F41" s="35">
        <v>1</v>
      </c>
      <c r="G41" s="36">
        <v>0.3</v>
      </c>
      <c r="H41" s="37">
        <v>3</v>
      </c>
      <c r="I41" s="38">
        <v>0.1</v>
      </c>
      <c r="J41" s="36">
        <v>0.03</v>
      </c>
      <c r="K41" s="37">
        <v>0.3</v>
      </c>
    </row>
    <row r="42" spans="1:11" s="14" customFormat="1" ht="13.8">
      <c r="A42" s="2514"/>
      <c r="B42" s="43" t="s">
        <v>1662</v>
      </c>
      <c r="C42" s="35">
        <v>44400</v>
      </c>
      <c r="D42" s="36">
        <v>37300</v>
      </c>
      <c r="E42" s="37">
        <v>54100</v>
      </c>
      <c r="F42" s="35">
        <v>1</v>
      </c>
      <c r="G42" s="36">
        <v>0.3</v>
      </c>
      <c r="H42" s="37">
        <v>3</v>
      </c>
      <c r="I42" s="38">
        <v>0.1</v>
      </c>
      <c r="J42" s="36">
        <v>0.03</v>
      </c>
      <c r="K42" s="37">
        <v>0.3</v>
      </c>
    </row>
    <row r="43" spans="1:11" s="14" customFormat="1" ht="13.8">
      <c r="A43" s="2514"/>
      <c r="B43" s="43" t="s">
        <v>1663</v>
      </c>
      <c r="C43" s="35">
        <v>260000</v>
      </c>
      <c r="D43" s="36">
        <v>219000</v>
      </c>
      <c r="E43" s="37">
        <v>308000</v>
      </c>
      <c r="F43" s="35">
        <v>1</v>
      </c>
      <c r="G43" s="36">
        <v>0.3</v>
      </c>
      <c r="H43" s="37">
        <v>3</v>
      </c>
      <c r="I43" s="38">
        <v>0.1</v>
      </c>
      <c r="J43" s="36">
        <v>0.03</v>
      </c>
      <c r="K43" s="37">
        <v>0.3</v>
      </c>
    </row>
    <row r="44" spans="1:11" s="14" customFormat="1" ht="13.8">
      <c r="A44" s="2515"/>
      <c r="B44" s="43" t="s">
        <v>1664</v>
      </c>
      <c r="C44" s="35">
        <v>182000</v>
      </c>
      <c r="D44" s="36">
        <v>145000</v>
      </c>
      <c r="E44" s="37">
        <v>202000</v>
      </c>
      <c r="F44" s="35">
        <v>1</v>
      </c>
      <c r="G44" s="36">
        <v>0.3</v>
      </c>
      <c r="H44" s="37">
        <v>3</v>
      </c>
      <c r="I44" s="38">
        <v>0.1</v>
      </c>
      <c r="J44" s="36">
        <v>0.03</v>
      </c>
      <c r="K44" s="37">
        <v>0.3</v>
      </c>
    </row>
    <row r="45" spans="1:11" s="14" customFormat="1" ht="13.8">
      <c r="A45" s="2518" t="s">
        <v>736</v>
      </c>
      <c r="B45" s="2531"/>
      <c r="C45" s="35">
        <v>56100</v>
      </c>
      <c r="D45" s="36">
        <v>54300</v>
      </c>
      <c r="E45" s="37">
        <v>58300</v>
      </c>
      <c r="F45" s="35">
        <v>1</v>
      </c>
      <c r="G45" s="36">
        <v>0.3</v>
      </c>
      <c r="H45" s="37">
        <v>3</v>
      </c>
      <c r="I45" s="38">
        <v>0.1</v>
      </c>
      <c r="J45" s="36">
        <v>0.03</v>
      </c>
      <c r="K45" s="37">
        <v>0.3</v>
      </c>
    </row>
    <row r="46" spans="1:11" s="14" customFormat="1" ht="13.8">
      <c r="A46" s="2532" t="s">
        <v>1665</v>
      </c>
      <c r="B46" s="2533"/>
      <c r="C46" s="46">
        <v>91700</v>
      </c>
      <c r="D46" s="47">
        <v>73300</v>
      </c>
      <c r="E46" s="48">
        <v>121000</v>
      </c>
      <c r="F46" s="46" t="s">
        <v>1666</v>
      </c>
      <c r="G46" s="47" t="s">
        <v>1667</v>
      </c>
      <c r="H46" s="48" t="s">
        <v>1668</v>
      </c>
      <c r="I46" s="49" t="s">
        <v>1669</v>
      </c>
      <c r="J46" s="47" t="s">
        <v>1670</v>
      </c>
      <c r="K46" s="48" t="s">
        <v>1671</v>
      </c>
    </row>
    <row r="47" spans="1:11" s="14" customFormat="1" ht="13.8">
      <c r="A47" s="2532" t="s">
        <v>1672</v>
      </c>
      <c r="B47" s="2533"/>
      <c r="C47" s="35">
        <v>143000</v>
      </c>
      <c r="D47" s="36">
        <v>110000</v>
      </c>
      <c r="E47" s="37">
        <v>183000</v>
      </c>
      <c r="F47" s="35">
        <v>30</v>
      </c>
      <c r="G47" s="36">
        <v>10</v>
      </c>
      <c r="H47" s="37">
        <v>100</v>
      </c>
      <c r="I47" s="38">
        <v>4</v>
      </c>
      <c r="J47" s="36">
        <v>1.5</v>
      </c>
      <c r="K47" s="37">
        <v>15</v>
      </c>
    </row>
    <row r="48" spans="1:11" s="14" customFormat="1" ht="13.8">
      <c r="A48" s="2532" t="s">
        <v>1673</v>
      </c>
      <c r="B48" s="2533"/>
      <c r="C48" s="35">
        <v>73300</v>
      </c>
      <c r="D48" s="36">
        <v>72200</v>
      </c>
      <c r="E48" s="37">
        <v>74400</v>
      </c>
      <c r="F48" s="35">
        <v>30</v>
      </c>
      <c r="G48" s="36">
        <v>10</v>
      </c>
      <c r="H48" s="37">
        <v>100</v>
      </c>
      <c r="I48" s="38">
        <v>4</v>
      </c>
      <c r="J48" s="36">
        <v>1.5</v>
      </c>
      <c r="K48" s="37">
        <v>15</v>
      </c>
    </row>
    <row r="49" spans="1:11" s="14" customFormat="1" ht="13.8">
      <c r="A49" s="2534" t="s">
        <v>1674</v>
      </c>
      <c r="B49" s="2533"/>
      <c r="C49" s="35">
        <v>106000</v>
      </c>
      <c r="D49" s="36">
        <v>100000</v>
      </c>
      <c r="E49" s="37">
        <v>108000</v>
      </c>
      <c r="F49" s="35">
        <v>1</v>
      </c>
      <c r="G49" s="36">
        <v>0.3</v>
      </c>
      <c r="H49" s="37">
        <v>3</v>
      </c>
      <c r="I49" s="50">
        <v>1.5</v>
      </c>
      <c r="J49" s="36">
        <v>0.5</v>
      </c>
      <c r="K49" s="37">
        <v>5</v>
      </c>
    </row>
    <row r="50" spans="1:11" s="14" customFormat="1" ht="13.8">
      <c r="A50" s="2513" t="s">
        <v>1675</v>
      </c>
      <c r="B50" s="51" t="s">
        <v>1676</v>
      </c>
      <c r="C50" s="35">
        <v>112000</v>
      </c>
      <c r="D50" s="36">
        <v>95000</v>
      </c>
      <c r="E50" s="37">
        <v>132000</v>
      </c>
      <c r="F50" s="35">
        <v>30</v>
      </c>
      <c r="G50" s="36">
        <v>10</v>
      </c>
      <c r="H50" s="37">
        <v>100</v>
      </c>
      <c r="I50" s="38">
        <v>4</v>
      </c>
      <c r="J50" s="36">
        <v>1.5</v>
      </c>
      <c r="K50" s="37">
        <v>15</v>
      </c>
    </row>
    <row r="51" spans="1:11" s="14" customFormat="1" ht="27.6">
      <c r="A51" s="2514"/>
      <c r="B51" s="52" t="s">
        <v>1677</v>
      </c>
      <c r="C51" s="46">
        <v>95300</v>
      </c>
      <c r="D51" s="47">
        <v>80700</v>
      </c>
      <c r="E51" s="48">
        <v>110000</v>
      </c>
      <c r="F51" s="35">
        <v>3</v>
      </c>
      <c r="G51" s="47" t="s">
        <v>1678</v>
      </c>
      <c r="H51" s="48" t="s">
        <v>1679</v>
      </c>
      <c r="I51" s="53">
        <v>2</v>
      </c>
      <c r="J51" s="47" t="s">
        <v>1678</v>
      </c>
      <c r="K51" s="48" t="s">
        <v>1680</v>
      </c>
    </row>
    <row r="52" spans="1:11" s="14" customFormat="1" ht="27.6">
      <c r="A52" s="2514"/>
      <c r="B52" s="52" t="s">
        <v>1681</v>
      </c>
      <c r="C52" s="46">
        <v>100000</v>
      </c>
      <c r="D52" s="47">
        <v>84700</v>
      </c>
      <c r="E52" s="48">
        <v>117000</v>
      </c>
      <c r="F52" s="35" t="s">
        <v>1666</v>
      </c>
      <c r="G52" s="47" t="s">
        <v>1667</v>
      </c>
      <c r="H52" s="48" t="s">
        <v>1668</v>
      </c>
      <c r="I52" s="49" t="s">
        <v>1669</v>
      </c>
      <c r="J52" s="47" t="s">
        <v>1670</v>
      </c>
      <c r="K52" s="48" t="s">
        <v>1671</v>
      </c>
    </row>
    <row r="53" spans="1:11" s="14" customFormat="1" ht="13.8">
      <c r="A53" s="2515"/>
      <c r="B53" s="51" t="s">
        <v>570</v>
      </c>
      <c r="C53" s="35">
        <v>112000</v>
      </c>
      <c r="D53" s="36">
        <v>95000</v>
      </c>
      <c r="E53" s="37">
        <v>132000</v>
      </c>
      <c r="F53" s="35">
        <v>200</v>
      </c>
      <c r="G53" s="36">
        <v>70</v>
      </c>
      <c r="H53" s="37">
        <v>600</v>
      </c>
      <c r="I53" s="38">
        <v>4</v>
      </c>
      <c r="J53" s="36">
        <v>1.5</v>
      </c>
      <c r="K53" s="37">
        <v>15</v>
      </c>
    </row>
    <row r="54" spans="1:11" s="14" customFormat="1" ht="13.8">
      <c r="A54" s="2513" t="s">
        <v>1682</v>
      </c>
      <c r="B54" s="51" t="s">
        <v>1683</v>
      </c>
      <c r="C54" s="35">
        <v>70800</v>
      </c>
      <c r="D54" s="36">
        <v>59800</v>
      </c>
      <c r="E54" s="37">
        <v>84300</v>
      </c>
      <c r="F54" s="35">
        <v>3</v>
      </c>
      <c r="G54" s="36">
        <v>1</v>
      </c>
      <c r="H54" s="37">
        <v>10</v>
      </c>
      <c r="I54" s="38">
        <v>0.6</v>
      </c>
      <c r="J54" s="36">
        <v>0.2</v>
      </c>
      <c r="K54" s="37">
        <v>2</v>
      </c>
    </row>
    <row r="55" spans="1:11" s="14" customFormat="1" ht="13.8">
      <c r="A55" s="2514"/>
      <c r="B55" s="51" t="s">
        <v>1684</v>
      </c>
      <c r="C55" s="35">
        <v>70800</v>
      </c>
      <c r="D55" s="36">
        <v>59800</v>
      </c>
      <c r="E55" s="37">
        <v>84300</v>
      </c>
      <c r="F55" s="35">
        <v>3</v>
      </c>
      <c r="G55" s="36">
        <v>1</v>
      </c>
      <c r="H55" s="37">
        <v>10</v>
      </c>
      <c r="I55" s="38">
        <v>0.6</v>
      </c>
      <c r="J55" s="36">
        <v>0.2</v>
      </c>
      <c r="K55" s="37">
        <v>2</v>
      </c>
    </row>
    <row r="56" spans="1:11" s="14" customFormat="1" ht="13.8">
      <c r="A56" s="2515"/>
      <c r="B56" s="51" t="s">
        <v>1685</v>
      </c>
      <c r="C56" s="35">
        <v>79600</v>
      </c>
      <c r="D56" s="36">
        <v>67100</v>
      </c>
      <c r="E56" s="37">
        <v>95300</v>
      </c>
      <c r="F56" s="35">
        <v>3</v>
      </c>
      <c r="G56" s="36">
        <v>1</v>
      </c>
      <c r="H56" s="37">
        <v>10</v>
      </c>
      <c r="I56" s="38">
        <v>0.6</v>
      </c>
      <c r="J56" s="36">
        <v>0.2</v>
      </c>
      <c r="K56" s="37">
        <v>2</v>
      </c>
    </row>
    <row r="57" spans="1:11" s="14" customFormat="1" ht="13.8">
      <c r="A57" s="2513" t="s">
        <v>1686</v>
      </c>
      <c r="B57" s="51" t="s">
        <v>1687</v>
      </c>
      <c r="C57" s="35">
        <v>54600</v>
      </c>
      <c r="D57" s="36">
        <v>46200</v>
      </c>
      <c r="E57" s="37">
        <v>66000</v>
      </c>
      <c r="F57" s="35">
        <v>1</v>
      </c>
      <c r="G57" s="36">
        <v>0.3</v>
      </c>
      <c r="H57" s="37">
        <v>3</v>
      </c>
      <c r="I57" s="38">
        <v>0.1</v>
      </c>
      <c r="J57" s="36">
        <v>0.03</v>
      </c>
      <c r="K57" s="37">
        <v>0.3</v>
      </c>
    </row>
    <row r="58" spans="1:11" s="14" customFormat="1" ht="13.8">
      <c r="A58" s="2514"/>
      <c r="B58" s="51" t="s">
        <v>1688</v>
      </c>
      <c r="C58" s="35">
        <v>54600</v>
      </c>
      <c r="D58" s="36">
        <v>46200</v>
      </c>
      <c r="E58" s="37">
        <v>66000</v>
      </c>
      <c r="F58" s="35">
        <v>1</v>
      </c>
      <c r="G58" s="36">
        <v>0.3</v>
      </c>
      <c r="H58" s="37">
        <v>3</v>
      </c>
      <c r="I58" s="38">
        <v>0.1</v>
      </c>
      <c r="J58" s="36">
        <v>0.03</v>
      </c>
      <c r="K58" s="37">
        <v>0.3</v>
      </c>
    </row>
    <row r="59" spans="1:11" s="14" customFormat="1" ht="13.8">
      <c r="A59" s="2515"/>
      <c r="B59" s="51" t="s">
        <v>1689</v>
      </c>
      <c r="C59" s="35">
        <v>54600</v>
      </c>
      <c r="D59" s="36">
        <v>46200</v>
      </c>
      <c r="E59" s="37">
        <v>66000</v>
      </c>
      <c r="F59" s="35">
        <v>1</v>
      </c>
      <c r="G59" s="36">
        <v>0.3</v>
      </c>
      <c r="H59" s="37">
        <v>3</v>
      </c>
      <c r="I59" s="38">
        <v>0.1</v>
      </c>
      <c r="J59" s="36">
        <v>0.03</v>
      </c>
      <c r="K59" s="37">
        <v>0.3</v>
      </c>
    </row>
    <row r="60" spans="1:11" s="14" customFormat="1" ht="28.2" thickBot="1">
      <c r="A60" s="54" t="s">
        <v>1690</v>
      </c>
      <c r="B60" s="55" t="s">
        <v>1691</v>
      </c>
      <c r="C60" s="56">
        <v>100000</v>
      </c>
      <c r="D60" s="57">
        <v>84700</v>
      </c>
      <c r="E60" s="58">
        <v>117000</v>
      </c>
      <c r="F60" s="56" t="s">
        <v>1666</v>
      </c>
      <c r="G60" s="57" t="s">
        <v>1667</v>
      </c>
      <c r="H60" s="58" t="s">
        <v>1668</v>
      </c>
      <c r="I60" s="59" t="s">
        <v>1669</v>
      </c>
      <c r="J60" s="57" t="s">
        <v>1670</v>
      </c>
      <c r="K60" s="58" t="s">
        <v>1671</v>
      </c>
    </row>
    <row r="61" spans="1:11" s="14" customFormat="1" ht="12.75" customHeight="1">
      <c r="A61" s="2500" t="s">
        <v>1692</v>
      </c>
      <c r="B61" s="2501"/>
      <c r="C61" s="2501"/>
      <c r="D61" s="2501"/>
      <c r="E61" s="2501"/>
      <c r="F61" s="2501"/>
      <c r="G61" s="2501"/>
      <c r="H61" s="2501"/>
      <c r="I61" s="2501"/>
      <c r="J61" s="2501"/>
      <c r="K61" s="2502"/>
    </row>
    <row r="62" spans="1:11" s="14" customFormat="1" ht="14.25" customHeight="1">
      <c r="A62" s="2503"/>
      <c r="B62" s="2504"/>
      <c r="C62" s="2504"/>
      <c r="D62" s="2504"/>
      <c r="E62" s="2504"/>
      <c r="F62" s="2504"/>
      <c r="G62" s="2504"/>
      <c r="H62" s="2504"/>
      <c r="I62" s="2504"/>
      <c r="J62" s="2504"/>
      <c r="K62" s="2505"/>
    </row>
    <row r="63" spans="1:11" s="14" customFormat="1" ht="15" customHeight="1" thickBot="1">
      <c r="A63" s="2506"/>
      <c r="B63" s="2507"/>
      <c r="C63" s="2507"/>
      <c r="D63" s="2507"/>
      <c r="E63" s="2507"/>
      <c r="F63" s="2507"/>
      <c r="G63" s="2507"/>
      <c r="H63" s="2507"/>
      <c r="I63" s="2507"/>
      <c r="J63" s="2507"/>
      <c r="K63" s="2508"/>
    </row>
    <row r="64" spans="1:11" s="3" customFormat="1" ht="13.2"/>
    <row r="65" spans="1:11" s="3" customFormat="1" ht="13.2"/>
    <row r="66" spans="1:11" s="14" customFormat="1" ht="14.4" thickBot="1">
      <c r="A66" s="14" t="s">
        <v>1693</v>
      </c>
    </row>
    <row r="67" spans="1:11" s="14" customFormat="1" ht="15.75" customHeight="1" thickBot="1">
      <c r="A67" s="2527" t="s">
        <v>597</v>
      </c>
      <c r="B67" s="2539"/>
      <c r="C67" s="2522" t="s">
        <v>1605</v>
      </c>
      <c r="D67" s="2523"/>
      <c r="E67" s="2524"/>
      <c r="F67" s="2522" t="s">
        <v>1606</v>
      </c>
      <c r="G67" s="2523"/>
      <c r="H67" s="2524"/>
      <c r="I67" s="2522" t="s">
        <v>1607</v>
      </c>
      <c r="J67" s="2523"/>
      <c r="K67" s="2524"/>
    </row>
    <row r="68" spans="1:11" s="14" customFormat="1" ht="14.4" thickBot="1">
      <c r="A68" s="2529"/>
      <c r="B68" s="2540"/>
      <c r="C68" s="60" t="s">
        <v>637</v>
      </c>
      <c r="D68" s="790" t="s">
        <v>586</v>
      </c>
      <c r="E68" s="791" t="s">
        <v>587</v>
      </c>
      <c r="F68" s="60" t="s">
        <v>637</v>
      </c>
      <c r="G68" s="790" t="s">
        <v>586</v>
      </c>
      <c r="H68" s="791" t="s">
        <v>587</v>
      </c>
      <c r="I68" s="1003" t="s">
        <v>637</v>
      </c>
      <c r="J68" s="790" t="s">
        <v>586</v>
      </c>
      <c r="K68" s="791" t="s">
        <v>587</v>
      </c>
    </row>
    <row r="69" spans="1:11" s="14" customFormat="1" ht="13.8">
      <c r="A69" s="2525" t="s">
        <v>541</v>
      </c>
      <c r="B69" s="2538"/>
      <c r="C69" s="31">
        <v>73300</v>
      </c>
      <c r="D69" s="32" t="s">
        <v>1694</v>
      </c>
      <c r="E69" s="33" t="s">
        <v>1695</v>
      </c>
      <c r="F69" s="31">
        <v>3</v>
      </c>
      <c r="G69" s="32">
        <v>1</v>
      </c>
      <c r="H69" s="33">
        <v>10</v>
      </c>
      <c r="I69" s="34">
        <v>0.6</v>
      </c>
      <c r="J69" s="32">
        <v>0.2</v>
      </c>
      <c r="K69" s="33">
        <v>2</v>
      </c>
    </row>
    <row r="70" spans="1:11" s="14" customFormat="1" ht="13.8">
      <c r="A70" s="2516" t="s">
        <v>1617</v>
      </c>
      <c r="B70" s="2537"/>
      <c r="C70" s="35">
        <v>77000</v>
      </c>
      <c r="D70" s="36" t="s">
        <v>1696</v>
      </c>
      <c r="E70" s="37" t="s">
        <v>1697</v>
      </c>
      <c r="F70" s="35">
        <v>3</v>
      </c>
      <c r="G70" s="36">
        <v>1</v>
      </c>
      <c r="H70" s="37">
        <v>10</v>
      </c>
      <c r="I70" s="38">
        <v>0.6</v>
      </c>
      <c r="J70" s="36">
        <v>0.2</v>
      </c>
      <c r="K70" s="37">
        <v>2</v>
      </c>
    </row>
    <row r="71" spans="1:11" s="14" customFormat="1" ht="13.8">
      <c r="A71" s="2516" t="s">
        <v>1628</v>
      </c>
      <c r="B71" s="2537"/>
      <c r="C71" s="35">
        <v>64200</v>
      </c>
      <c r="D71" s="36" t="s">
        <v>1698</v>
      </c>
      <c r="E71" s="37" t="s">
        <v>1699</v>
      </c>
      <c r="F71" s="35">
        <v>3</v>
      </c>
      <c r="G71" s="36">
        <v>1</v>
      </c>
      <c r="H71" s="37">
        <v>10</v>
      </c>
      <c r="I71" s="38">
        <v>0.6</v>
      </c>
      <c r="J71" s="36">
        <v>0.2</v>
      </c>
      <c r="K71" s="37">
        <v>2</v>
      </c>
    </row>
    <row r="72" spans="1:11" s="14" customFormat="1" ht="13.8">
      <c r="A72" s="2513" t="s">
        <v>384</v>
      </c>
      <c r="B72" s="879" t="s">
        <v>1630</v>
      </c>
      <c r="C72" s="35">
        <v>69300</v>
      </c>
      <c r="D72" s="36" t="s">
        <v>1700</v>
      </c>
      <c r="E72" s="37" t="s">
        <v>1701</v>
      </c>
      <c r="F72" s="35">
        <v>3</v>
      </c>
      <c r="G72" s="36">
        <v>1</v>
      </c>
      <c r="H72" s="37">
        <v>10</v>
      </c>
      <c r="I72" s="38">
        <v>0.6</v>
      </c>
      <c r="J72" s="36">
        <v>0.2</v>
      </c>
      <c r="K72" s="37">
        <v>2</v>
      </c>
    </row>
    <row r="73" spans="1:11" s="14" customFormat="1" ht="13.8">
      <c r="A73" s="2514"/>
      <c r="B73" s="879" t="s">
        <v>1634</v>
      </c>
      <c r="C73" s="35">
        <v>70000</v>
      </c>
      <c r="D73" s="36" t="s">
        <v>1700</v>
      </c>
      <c r="E73" s="37" t="s">
        <v>1701</v>
      </c>
      <c r="F73" s="35">
        <v>3</v>
      </c>
      <c r="G73" s="36">
        <v>1</v>
      </c>
      <c r="H73" s="37">
        <v>10</v>
      </c>
      <c r="I73" s="38">
        <v>0.6</v>
      </c>
      <c r="J73" s="36">
        <v>0.2</v>
      </c>
      <c r="K73" s="37">
        <v>2</v>
      </c>
    </row>
    <row r="74" spans="1:11" s="14" customFormat="1" ht="13.8">
      <c r="A74" s="2515"/>
      <c r="B74" s="879" t="s">
        <v>1638</v>
      </c>
      <c r="C74" s="35">
        <v>70000</v>
      </c>
      <c r="D74" s="36" t="s">
        <v>1700</v>
      </c>
      <c r="E74" s="37" t="s">
        <v>1701</v>
      </c>
      <c r="F74" s="35">
        <v>3</v>
      </c>
      <c r="G74" s="36">
        <v>1</v>
      </c>
      <c r="H74" s="37">
        <v>10</v>
      </c>
      <c r="I74" s="38">
        <v>0.6</v>
      </c>
      <c r="J74" s="36">
        <v>0.2</v>
      </c>
      <c r="K74" s="37">
        <v>2</v>
      </c>
    </row>
    <row r="75" spans="1:11" s="14" customFormat="1" ht="13.8">
      <c r="A75" s="2518" t="s">
        <v>1639</v>
      </c>
      <c r="B75" s="2531"/>
      <c r="C75" s="35">
        <v>71500</v>
      </c>
      <c r="D75" s="36" t="s">
        <v>1702</v>
      </c>
      <c r="E75" s="37" t="s">
        <v>1703</v>
      </c>
      <c r="F75" s="35">
        <v>3</v>
      </c>
      <c r="G75" s="36">
        <v>1</v>
      </c>
      <c r="H75" s="37">
        <v>10</v>
      </c>
      <c r="I75" s="38">
        <v>0.6</v>
      </c>
      <c r="J75" s="36">
        <v>0.2</v>
      </c>
      <c r="K75" s="37">
        <v>2</v>
      </c>
    </row>
    <row r="76" spans="1:11" s="14" customFormat="1" ht="13.8">
      <c r="A76" s="2509" t="s">
        <v>711</v>
      </c>
      <c r="B76" s="2535"/>
      <c r="C76" s="35">
        <v>71900</v>
      </c>
      <c r="D76" s="36" t="s">
        <v>1704</v>
      </c>
      <c r="E76" s="37" t="s">
        <v>1705</v>
      </c>
      <c r="F76" s="35">
        <v>3</v>
      </c>
      <c r="G76" s="36">
        <v>1</v>
      </c>
      <c r="H76" s="37">
        <v>10</v>
      </c>
      <c r="I76" s="38">
        <v>0.6</v>
      </c>
      <c r="J76" s="36">
        <v>0.2</v>
      </c>
      <c r="K76" s="37">
        <v>2</v>
      </c>
    </row>
    <row r="77" spans="1:11" s="14" customFormat="1" ht="13.8">
      <c r="A77" s="2509" t="s">
        <v>1640</v>
      </c>
      <c r="B77" s="2535"/>
      <c r="C77" s="35">
        <v>73300</v>
      </c>
      <c r="D77" s="36" t="s">
        <v>1706</v>
      </c>
      <c r="E77" s="37" t="s">
        <v>1707</v>
      </c>
      <c r="F77" s="35">
        <v>3</v>
      </c>
      <c r="G77" s="36">
        <v>1</v>
      </c>
      <c r="H77" s="37">
        <v>10</v>
      </c>
      <c r="I77" s="38">
        <v>0.6</v>
      </c>
      <c r="J77" s="36">
        <v>0.2</v>
      </c>
      <c r="K77" s="37">
        <v>2</v>
      </c>
    </row>
    <row r="78" spans="1:11" s="14" customFormat="1" ht="13.8">
      <c r="A78" s="2509" t="s">
        <v>713</v>
      </c>
      <c r="B78" s="2535"/>
      <c r="C78" s="35">
        <v>74100</v>
      </c>
      <c r="D78" s="36" t="s">
        <v>1708</v>
      </c>
      <c r="E78" s="37" t="s">
        <v>1709</v>
      </c>
      <c r="F78" s="35">
        <v>3</v>
      </c>
      <c r="G78" s="36">
        <v>1</v>
      </c>
      <c r="H78" s="37">
        <v>10</v>
      </c>
      <c r="I78" s="38">
        <v>0.6</v>
      </c>
      <c r="J78" s="36">
        <v>0.2</v>
      </c>
      <c r="K78" s="37">
        <v>2</v>
      </c>
    </row>
    <row r="79" spans="1:11" s="14" customFormat="1" ht="13.8">
      <c r="A79" s="2509" t="s">
        <v>715</v>
      </c>
      <c r="B79" s="2535"/>
      <c r="C79" s="35">
        <v>77400</v>
      </c>
      <c r="D79" s="36" t="s">
        <v>1695</v>
      </c>
      <c r="E79" s="37" t="s">
        <v>1710</v>
      </c>
      <c r="F79" s="35">
        <v>3</v>
      </c>
      <c r="G79" s="36">
        <v>1</v>
      </c>
      <c r="H79" s="37">
        <v>10</v>
      </c>
      <c r="I79" s="38">
        <v>0.6</v>
      </c>
      <c r="J79" s="36">
        <v>0.2</v>
      </c>
      <c r="K79" s="37">
        <v>2</v>
      </c>
    </row>
    <row r="80" spans="1:11" s="14" customFormat="1" ht="13.8">
      <c r="A80" s="2509" t="s">
        <v>718</v>
      </c>
      <c r="B80" s="2535"/>
      <c r="C80" s="35">
        <v>63100</v>
      </c>
      <c r="D80" s="36" t="s">
        <v>1711</v>
      </c>
      <c r="E80" s="37" t="s">
        <v>1712</v>
      </c>
      <c r="F80" s="35">
        <v>1</v>
      </c>
      <c r="G80" s="36">
        <v>0.3</v>
      </c>
      <c r="H80" s="37">
        <v>3</v>
      </c>
      <c r="I80" s="38">
        <v>0.1</v>
      </c>
      <c r="J80" s="36">
        <v>0.03</v>
      </c>
      <c r="K80" s="37">
        <v>0.3</v>
      </c>
    </row>
    <row r="81" spans="1:11" s="14" customFormat="1" ht="13.8">
      <c r="A81" s="2509" t="s">
        <v>1641</v>
      </c>
      <c r="B81" s="2535"/>
      <c r="C81" s="35">
        <v>61600</v>
      </c>
      <c r="D81" s="36" t="s">
        <v>1713</v>
      </c>
      <c r="E81" s="37" t="s">
        <v>1714</v>
      </c>
      <c r="F81" s="35">
        <v>1</v>
      </c>
      <c r="G81" s="36">
        <v>0.3</v>
      </c>
      <c r="H81" s="37">
        <v>3</v>
      </c>
      <c r="I81" s="38">
        <v>0.1</v>
      </c>
      <c r="J81" s="36">
        <v>0.03</v>
      </c>
      <c r="K81" s="37">
        <v>0.3</v>
      </c>
    </row>
    <row r="82" spans="1:11" s="14" customFormat="1" ht="13.8">
      <c r="A82" s="2509" t="s">
        <v>1642</v>
      </c>
      <c r="B82" s="2535"/>
      <c r="C82" s="35">
        <v>73300</v>
      </c>
      <c r="D82" s="36" t="s">
        <v>1696</v>
      </c>
      <c r="E82" s="37" t="s">
        <v>1715</v>
      </c>
      <c r="F82" s="35">
        <v>3</v>
      </c>
      <c r="G82" s="36">
        <v>1</v>
      </c>
      <c r="H82" s="37">
        <v>10</v>
      </c>
      <c r="I82" s="38">
        <v>0.6</v>
      </c>
      <c r="J82" s="36">
        <v>0.2</v>
      </c>
      <c r="K82" s="37">
        <v>2</v>
      </c>
    </row>
    <row r="83" spans="1:11" s="14" customFormat="1" ht="13.8">
      <c r="A83" s="2509" t="s">
        <v>1643</v>
      </c>
      <c r="B83" s="2535"/>
      <c r="C83" s="35">
        <v>80700</v>
      </c>
      <c r="D83" s="36" t="s">
        <v>1701</v>
      </c>
      <c r="E83" s="37" t="s">
        <v>1716</v>
      </c>
      <c r="F83" s="35">
        <v>3</v>
      </c>
      <c r="G83" s="36">
        <v>1</v>
      </c>
      <c r="H83" s="37">
        <v>10</v>
      </c>
      <c r="I83" s="38">
        <v>0.6</v>
      </c>
      <c r="J83" s="36">
        <v>0.2</v>
      </c>
      <c r="K83" s="37">
        <v>2</v>
      </c>
    </row>
    <row r="84" spans="1:11" s="14" customFormat="1" ht="13.8">
      <c r="A84" s="2509" t="s">
        <v>1644</v>
      </c>
      <c r="B84" s="2535"/>
      <c r="C84" s="35">
        <v>73300</v>
      </c>
      <c r="D84" s="36" t="s">
        <v>1717</v>
      </c>
      <c r="E84" s="37" t="s">
        <v>1718</v>
      </c>
      <c r="F84" s="35">
        <v>3</v>
      </c>
      <c r="G84" s="36">
        <v>1</v>
      </c>
      <c r="H84" s="37">
        <v>10</v>
      </c>
      <c r="I84" s="38">
        <v>0.6</v>
      </c>
      <c r="J84" s="36">
        <v>0.2</v>
      </c>
      <c r="K84" s="37">
        <v>2</v>
      </c>
    </row>
    <row r="85" spans="1:11" s="14" customFormat="1" ht="13.8">
      <c r="A85" s="2509" t="s">
        <v>1645</v>
      </c>
      <c r="B85" s="2535"/>
      <c r="C85" s="35">
        <v>97500</v>
      </c>
      <c r="D85" s="36" t="s">
        <v>1719</v>
      </c>
      <c r="E85" s="37" t="s">
        <v>1720</v>
      </c>
      <c r="F85" s="35">
        <v>3</v>
      </c>
      <c r="G85" s="36">
        <v>1</v>
      </c>
      <c r="H85" s="37">
        <v>10</v>
      </c>
      <c r="I85" s="38">
        <v>0.6</v>
      </c>
      <c r="J85" s="36">
        <v>0.2</v>
      </c>
      <c r="K85" s="37">
        <v>2</v>
      </c>
    </row>
    <row r="86" spans="1:11" s="14" customFormat="1" ht="13.8">
      <c r="A86" s="2511" t="s">
        <v>1646</v>
      </c>
      <c r="B86" s="2535"/>
      <c r="C86" s="35">
        <v>73300</v>
      </c>
      <c r="D86" s="36" t="s">
        <v>1721</v>
      </c>
      <c r="E86" s="37" t="s">
        <v>1722</v>
      </c>
      <c r="F86" s="35">
        <v>3</v>
      </c>
      <c r="G86" s="36">
        <v>1</v>
      </c>
      <c r="H86" s="37">
        <v>10</v>
      </c>
      <c r="I86" s="38">
        <v>0.6</v>
      </c>
      <c r="J86" s="36">
        <v>0.2</v>
      </c>
      <c r="K86" s="37">
        <v>2</v>
      </c>
    </row>
    <row r="87" spans="1:11" s="14" customFormat="1" ht="13.8">
      <c r="A87" s="2513" t="s">
        <v>724</v>
      </c>
      <c r="B87" s="39" t="s">
        <v>725</v>
      </c>
      <c r="C87" s="35">
        <v>57600</v>
      </c>
      <c r="D87" s="36" t="s">
        <v>1723</v>
      </c>
      <c r="E87" s="37" t="s">
        <v>1724</v>
      </c>
      <c r="F87" s="35">
        <v>1</v>
      </c>
      <c r="G87" s="36">
        <v>0.3</v>
      </c>
      <c r="H87" s="37">
        <v>3</v>
      </c>
      <c r="I87" s="38">
        <v>0.1</v>
      </c>
      <c r="J87" s="36">
        <v>0.03</v>
      </c>
      <c r="K87" s="37">
        <v>0.3</v>
      </c>
    </row>
    <row r="88" spans="1:11" s="14" customFormat="1" ht="13.8">
      <c r="A88" s="2514"/>
      <c r="B88" s="39" t="s">
        <v>729</v>
      </c>
      <c r="C88" s="35">
        <v>73300</v>
      </c>
      <c r="D88" s="36" t="s">
        <v>1725</v>
      </c>
      <c r="E88" s="37" t="s">
        <v>1703</v>
      </c>
      <c r="F88" s="35">
        <v>3</v>
      </c>
      <c r="G88" s="36">
        <v>1</v>
      </c>
      <c r="H88" s="37">
        <v>10</v>
      </c>
      <c r="I88" s="38">
        <v>0.6</v>
      </c>
      <c r="J88" s="36">
        <v>0.2</v>
      </c>
      <c r="K88" s="37">
        <v>2</v>
      </c>
    </row>
    <row r="89" spans="1:11" s="14" customFormat="1" ht="13.8">
      <c r="A89" s="2514"/>
      <c r="B89" s="39" t="s">
        <v>1647</v>
      </c>
      <c r="C89" s="35">
        <v>73300</v>
      </c>
      <c r="D89" s="36" t="s">
        <v>1725</v>
      </c>
      <c r="E89" s="37" t="s">
        <v>1703</v>
      </c>
      <c r="F89" s="35">
        <v>3</v>
      </c>
      <c r="G89" s="36">
        <v>1</v>
      </c>
      <c r="H89" s="37">
        <v>10</v>
      </c>
      <c r="I89" s="38">
        <v>0.6</v>
      </c>
      <c r="J89" s="36">
        <v>0.2</v>
      </c>
      <c r="K89" s="37">
        <v>2</v>
      </c>
    </row>
    <row r="90" spans="1:11" s="14" customFormat="1" ht="13.8">
      <c r="A90" s="2515"/>
      <c r="B90" s="39" t="s">
        <v>1648</v>
      </c>
      <c r="C90" s="35">
        <v>73300</v>
      </c>
      <c r="D90" s="36" t="s">
        <v>1725</v>
      </c>
      <c r="E90" s="37" t="s">
        <v>1703</v>
      </c>
      <c r="F90" s="35">
        <v>3</v>
      </c>
      <c r="G90" s="36">
        <v>1</v>
      </c>
      <c r="H90" s="37">
        <v>10</v>
      </c>
      <c r="I90" s="38">
        <v>0.6</v>
      </c>
      <c r="J90" s="36">
        <v>0.2</v>
      </c>
      <c r="K90" s="37">
        <v>2</v>
      </c>
    </row>
    <row r="91" spans="1:11" s="14" customFormat="1" ht="13.8">
      <c r="A91" s="40" t="s">
        <v>1649</v>
      </c>
      <c r="B91" s="41"/>
      <c r="C91" s="35">
        <v>98300</v>
      </c>
      <c r="D91" s="36" t="s">
        <v>1726</v>
      </c>
      <c r="E91" s="37" t="s">
        <v>1727</v>
      </c>
      <c r="F91" s="35">
        <v>10</v>
      </c>
      <c r="G91" s="1833">
        <v>3</v>
      </c>
      <c r="H91" s="37">
        <v>30</v>
      </c>
      <c r="I91" s="38">
        <v>1.5</v>
      </c>
      <c r="J91" s="36">
        <v>0.5</v>
      </c>
      <c r="K91" s="37">
        <v>5</v>
      </c>
    </row>
    <row r="92" spans="1:11" s="14" customFormat="1" ht="13.8">
      <c r="A92" s="42" t="s">
        <v>1650</v>
      </c>
      <c r="B92" s="43"/>
      <c r="C92" s="35">
        <v>94600</v>
      </c>
      <c r="D92" s="36" t="s">
        <v>1728</v>
      </c>
      <c r="E92" s="37" t="s">
        <v>1727</v>
      </c>
      <c r="F92" s="35">
        <v>10</v>
      </c>
      <c r="G92" s="1833">
        <v>3</v>
      </c>
      <c r="H92" s="37">
        <v>30</v>
      </c>
      <c r="I92" s="38">
        <v>1.5</v>
      </c>
      <c r="J92" s="36">
        <v>0.5</v>
      </c>
      <c r="K92" s="37">
        <v>5</v>
      </c>
    </row>
    <row r="93" spans="1:11" s="14" customFormat="1" ht="13.8">
      <c r="A93" s="42" t="s">
        <v>1651</v>
      </c>
      <c r="B93" s="43"/>
      <c r="C93" s="35">
        <v>94600</v>
      </c>
      <c r="D93" s="36" t="s">
        <v>1729</v>
      </c>
      <c r="E93" s="37" t="s">
        <v>1730</v>
      </c>
      <c r="F93" s="35">
        <v>10</v>
      </c>
      <c r="G93" s="1833">
        <v>3</v>
      </c>
      <c r="H93" s="37">
        <v>30</v>
      </c>
      <c r="I93" s="38">
        <v>1.5</v>
      </c>
      <c r="J93" s="36">
        <v>0.5</v>
      </c>
      <c r="K93" s="37">
        <v>5</v>
      </c>
    </row>
    <row r="94" spans="1:11" s="14" customFormat="1" ht="13.8">
      <c r="A94" s="42" t="s">
        <v>1652</v>
      </c>
      <c r="B94" s="43"/>
      <c r="C94" s="35">
        <v>96100</v>
      </c>
      <c r="D94" s="36" t="s">
        <v>1731</v>
      </c>
      <c r="E94" s="37" t="s">
        <v>1732</v>
      </c>
      <c r="F94" s="35">
        <v>10</v>
      </c>
      <c r="G94" s="1833">
        <v>3</v>
      </c>
      <c r="H94" s="37">
        <v>30</v>
      </c>
      <c r="I94" s="38">
        <v>1.5</v>
      </c>
      <c r="J94" s="36">
        <v>0.5</v>
      </c>
      <c r="K94" s="37">
        <v>5</v>
      </c>
    </row>
    <row r="95" spans="1:11" s="14" customFormat="1" ht="13.8">
      <c r="A95" s="42" t="s">
        <v>1653</v>
      </c>
      <c r="B95" s="43"/>
      <c r="C95" s="35">
        <v>101000</v>
      </c>
      <c r="D95" s="36" t="s">
        <v>1733</v>
      </c>
      <c r="E95" s="37" t="s">
        <v>1720</v>
      </c>
      <c r="F95" s="35">
        <v>10</v>
      </c>
      <c r="G95" s="1833">
        <v>3</v>
      </c>
      <c r="H95" s="37">
        <v>30</v>
      </c>
      <c r="I95" s="38">
        <v>1.5</v>
      </c>
      <c r="J95" s="36">
        <v>0.5</v>
      </c>
      <c r="K95" s="37">
        <v>5</v>
      </c>
    </row>
    <row r="96" spans="1:11" s="14" customFormat="1" ht="13.8">
      <c r="A96" s="42" t="s">
        <v>1654</v>
      </c>
      <c r="B96" s="43"/>
      <c r="C96" s="35">
        <v>107000</v>
      </c>
      <c r="D96" s="36" t="s">
        <v>1734</v>
      </c>
      <c r="E96" s="37" t="s">
        <v>1735</v>
      </c>
      <c r="F96" s="35">
        <v>10</v>
      </c>
      <c r="G96" s="1833">
        <v>3</v>
      </c>
      <c r="H96" s="37">
        <v>30</v>
      </c>
      <c r="I96" s="38" t="s">
        <v>1736</v>
      </c>
      <c r="J96" s="36">
        <v>0.5</v>
      </c>
      <c r="K96" s="37">
        <v>5</v>
      </c>
    </row>
    <row r="97" spans="1:11" s="14" customFormat="1" ht="13.8">
      <c r="A97" s="42" t="s">
        <v>1655</v>
      </c>
      <c r="B97" s="43"/>
      <c r="C97" s="35">
        <v>97500</v>
      </c>
      <c r="D97" s="36" t="s">
        <v>1728</v>
      </c>
      <c r="E97" s="37" t="s">
        <v>1737</v>
      </c>
      <c r="F97" s="35">
        <v>10</v>
      </c>
      <c r="G97" s="1833">
        <v>3</v>
      </c>
      <c r="H97" s="37">
        <v>30</v>
      </c>
      <c r="I97" s="38">
        <v>1.5</v>
      </c>
      <c r="J97" s="36">
        <v>0.5</v>
      </c>
      <c r="K97" s="37">
        <v>5</v>
      </c>
    </row>
    <row r="98" spans="1:11" s="14" customFormat="1" ht="13.8">
      <c r="A98" s="44" t="s">
        <v>1656</v>
      </c>
      <c r="B98" s="43"/>
      <c r="C98" s="35">
        <v>97500</v>
      </c>
      <c r="D98" s="36" t="s">
        <v>1728</v>
      </c>
      <c r="E98" s="37" t="s">
        <v>1737</v>
      </c>
      <c r="F98" s="35">
        <v>10</v>
      </c>
      <c r="G98" s="1833">
        <v>3</v>
      </c>
      <c r="H98" s="37">
        <v>30</v>
      </c>
      <c r="I98" s="38" t="s">
        <v>1736</v>
      </c>
      <c r="J98" s="36">
        <v>0.5</v>
      </c>
      <c r="K98" s="37">
        <v>5</v>
      </c>
    </row>
    <row r="99" spans="1:11" s="14" customFormat="1" ht="27.6">
      <c r="A99" s="2536" t="s">
        <v>531</v>
      </c>
      <c r="B99" s="45" t="s">
        <v>1657</v>
      </c>
      <c r="C99" s="35">
        <v>107000</v>
      </c>
      <c r="D99" s="36" t="s">
        <v>1738</v>
      </c>
      <c r="E99" s="37" t="s">
        <v>1739</v>
      </c>
      <c r="F99" s="35">
        <v>10</v>
      </c>
      <c r="G99" s="1833">
        <v>3</v>
      </c>
      <c r="H99" s="37">
        <v>30</v>
      </c>
      <c r="I99" s="38">
        <v>1.5</v>
      </c>
      <c r="J99" s="36">
        <v>0.5</v>
      </c>
      <c r="K99" s="37">
        <v>5</v>
      </c>
    </row>
    <row r="100" spans="1:11" s="14" customFormat="1" ht="13.8">
      <c r="A100" s="2536"/>
      <c r="B100" s="879" t="s">
        <v>1658</v>
      </c>
      <c r="C100" s="35">
        <v>107000</v>
      </c>
      <c r="D100" s="36" t="s">
        <v>1738</v>
      </c>
      <c r="E100" s="37" t="s">
        <v>1739</v>
      </c>
      <c r="F100" s="35">
        <v>1</v>
      </c>
      <c r="G100" s="36">
        <v>0.3</v>
      </c>
      <c r="H100" s="37">
        <v>3</v>
      </c>
      <c r="I100" s="38">
        <v>0.1</v>
      </c>
      <c r="J100" s="36">
        <v>0.03</v>
      </c>
      <c r="K100" s="37">
        <v>0.3</v>
      </c>
    </row>
    <row r="101" spans="1:11" s="14" customFormat="1" ht="13.8">
      <c r="A101" s="2516" t="s">
        <v>1659</v>
      </c>
      <c r="B101" s="2537"/>
      <c r="C101" s="35">
        <v>80700</v>
      </c>
      <c r="D101" s="36" t="s">
        <v>1740</v>
      </c>
      <c r="E101" s="37" t="s">
        <v>1741</v>
      </c>
      <c r="F101" s="35">
        <v>10</v>
      </c>
      <c r="G101" s="1833">
        <v>3</v>
      </c>
      <c r="H101" s="37">
        <v>30</v>
      </c>
      <c r="I101" s="38" t="s">
        <v>1736</v>
      </c>
      <c r="J101" s="36">
        <v>0.5</v>
      </c>
      <c r="K101" s="37">
        <v>5</v>
      </c>
    </row>
    <row r="102" spans="1:11" s="14" customFormat="1" ht="13.8">
      <c r="A102" s="2513" t="s">
        <v>1660</v>
      </c>
      <c r="B102" s="43" t="s">
        <v>1661</v>
      </c>
      <c r="C102" s="35">
        <v>44400</v>
      </c>
      <c r="D102" s="36" t="s">
        <v>1742</v>
      </c>
      <c r="E102" s="37" t="s">
        <v>1743</v>
      </c>
      <c r="F102" s="35">
        <v>1</v>
      </c>
      <c r="G102" s="36">
        <v>0.3</v>
      </c>
      <c r="H102" s="37">
        <v>3</v>
      </c>
      <c r="I102" s="38">
        <v>0.1</v>
      </c>
      <c r="J102" s="36">
        <v>0.03</v>
      </c>
      <c r="K102" s="37">
        <v>0.3</v>
      </c>
    </row>
    <row r="103" spans="1:11" s="14" customFormat="1" ht="13.8">
      <c r="A103" s="2514"/>
      <c r="B103" s="43" t="s">
        <v>1662</v>
      </c>
      <c r="C103" s="35">
        <v>44400</v>
      </c>
      <c r="D103" s="36" t="s">
        <v>1742</v>
      </c>
      <c r="E103" s="37" t="s">
        <v>1743</v>
      </c>
      <c r="F103" s="35">
        <v>1</v>
      </c>
      <c r="G103" s="36">
        <v>0.3</v>
      </c>
      <c r="H103" s="37">
        <v>3</v>
      </c>
      <c r="I103" s="38">
        <v>0.1</v>
      </c>
      <c r="J103" s="36">
        <v>0.03</v>
      </c>
      <c r="K103" s="37">
        <v>0.3</v>
      </c>
    </row>
    <row r="104" spans="1:11" s="14" customFormat="1" ht="13.8">
      <c r="A104" s="2514"/>
      <c r="B104" s="43" t="s">
        <v>1663</v>
      </c>
      <c r="C104" s="35">
        <v>260000</v>
      </c>
      <c r="D104" s="36" t="s">
        <v>1744</v>
      </c>
      <c r="E104" s="37" t="s">
        <v>1745</v>
      </c>
      <c r="F104" s="35">
        <v>1</v>
      </c>
      <c r="G104" s="36">
        <v>0.3</v>
      </c>
      <c r="H104" s="37">
        <v>3</v>
      </c>
      <c r="I104" s="38">
        <v>0.1</v>
      </c>
      <c r="J104" s="36">
        <v>0.03</v>
      </c>
      <c r="K104" s="37">
        <v>0.3</v>
      </c>
    </row>
    <row r="105" spans="1:11" s="14" customFormat="1" ht="13.8">
      <c r="A105" s="2515"/>
      <c r="B105" s="43" t="s">
        <v>1664</v>
      </c>
      <c r="C105" s="35">
        <v>182000</v>
      </c>
      <c r="D105" s="36" t="s">
        <v>1746</v>
      </c>
      <c r="E105" s="37" t="s">
        <v>1747</v>
      </c>
      <c r="F105" s="35">
        <v>1</v>
      </c>
      <c r="G105" s="36">
        <v>0.3</v>
      </c>
      <c r="H105" s="37">
        <v>3</v>
      </c>
      <c r="I105" s="38">
        <v>0.1</v>
      </c>
      <c r="J105" s="36">
        <v>0.03</v>
      </c>
      <c r="K105" s="37">
        <v>0.3</v>
      </c>
    </row>
    <row r="106" spans="1:11" s="14" customFormat="1" ht="13.8">
      <c r="A106" s="2518" t="s">
        <v>736</v>
      </c>
      <c r="B106" s="2531"/>
      <c r="C106" s="35">
        <v>56100</v>
      </c>
      <c r="D106" s="36" t="s">
        <v>1748</v>
      </c>
      <c r="E106" s="37" t="s">
        <v>1698</v>
      </c>
      <c r="F106" s="35">
        <v>1</v>
      </c>
      <c r="G106" s="36">
        <v>0.3</v>
      </c>
      <c r="H106" s="37">
        <v>3</v>
      </c>
      <c r="I106" s="38">
        <v>0.1</v>
      </c>
      <c r="J106" s="36">
        <v>0.03</v>
      </c>
      <c r="K106" s="37">
        <v>0.3</v>
      </c>
    </row>
    <row r="107" spans="1:11" s="14" customFormat="1" ht="13.8">
      <c r="A107" s="2532" t="s">
        <v>1665</v>
      </c>
      <c r="B107" s="2533"/>
      <c r="C107" s="46">
        <v>91700</v>
      </c>
      <c r="D107" s="47" t="s">
        <v>1749</v>
      </c>
      <c r="E107" s="48" t="s">
        <v>1750</v>
      </c>
      <c r="F107" s="46" t="s">
        <v>1666</v>
      </c>
      <c r="G107" s="47" t="s">
        <v>1667</v>
      </c>
      <c r="H107" s="48" t="s">
        <v>1668</v>
      </c>
      <c r="I107" s="49" t="s">
        <v>1669</v>
      </c>
      <c r="J107" s="47" t="s">
        <v>1670</v>
      </c>
      <c r="K107" s="48" t="s">
        <v>1671</v>
      </c>
    </row>
    <row r="108" spans="1:11" s="14" customFormat="1" ht="13.8">
      <c r="A108" s="2532" t="s">
        <v>1672</v>
      </c>
      <c r="B108" s="2533"/>
      <c r="C108" s="35">
        <v>143000</v>
      </c>
      <c r="D108" s="36" t="s">
        <v>1751</v>
      </c>
      <c r="E108" s="37" t="s">
        <v>1752</v>
      </c>
      <c r="F108" s="35">
        <v>30</v>
      </c>
      <c r="G108" s="36">
        <v>10</v>
      </c>
      <c r="H108" s="37">
        <v>100</v>
      </c>
      <c r="I108" s="38">
        <v>4</v>
      </c>
      <c r="J108" s="36">
        <v>1.5</v>
      </c>
      <c r="K108" s="37">
        <v>15</v>
      </c>
    </row>
    <row r="109" spans="1:11" s="14" customFormat="1" ht="13.8">
      <c r="A109" s="2532" t="s">
        <v>1673</v>
      </c>
      <c r="B109" s="2533"/>
      <c r="C109" s="35">
        <v>73300</v>
      </c>
      <c r="D109" s="36" t="s">
        <v>1725</v>
      </c>
      <c r="E109" s="37" t="s">
        <v>1703</v>
      </c>
      <c r="F109" s="35">
        <v>30</v>
      </c>
      <c r="G109" s="36">
        <v>10</v>
      </c>
      <c r="H109" s="37">
        <v>100</v>
      </c>
      <c r="I109" s="38">
        <v>4</v>
      </c>
      <c r="J109" s="36">
        <v>1.5</v>
      </c>
      <c r="K109" s="37">
        <v>15</v>
      </c>
    </row>
    <row r="110" spans="1:11" s="14" customFormat="1" ht="13.8">
      <c r="A110" s="2534" t="s">
        <v>1674</v>
      </c>
      <c r="B110" s="2533"/>
      <c r="C110" s="35">
        <v>106000</v>
      </c>
      <c r="D110" s="36" t="s">
        <v>1732</v>
      </c>
      <c r="E110" s="37" t="s">
        <v>1753</v>
      </c>
      <c r="F110" s="35">
        <v>2</v>
      </c>
      <c r="G110" s="1833">
        <v>0.6</v>
      </c>
      <c r="H110" s="37">
        <v>6</v>
      </c>
      <c r="I110" s="38">
        <v>1.5</v>
      </c>
      <c r="J110" s="36">
        <v>0.5</v>
      </c>
      <c r="K110" s="37">
        <v>5</v>
      </c>
    </row>
    <row r="111" spans="1:11" s="14" customFormat="1" ht="13.8">
      <c r="A111" s="2513" t="s">
        <v>1675</v>
      </c>
      <c r="B111" s="51" t="s">
        <v>1676</v>
      </c>
      <c r="C111" s="35">
        <v>112000</v>
      </c>
      <c r="D111" s="36" t="s">
        <v>1754</v>
      </c>
      <c r="E111" s="37" t="s">
        <v>1755</v>
      </c>
      <c r="F111" s="35">
        <v>30</v>
      </c>
      <c r="G111" s="36">
        <v>10</v>
      </c>
      <c r="H111" s="37">
        <v>100</v>
      </c>
      <c r="I111" s="38">
        <v>4</v>
      </c>
      <c r="J111" s="36">
        <v>1.5</v>
      </c>
      <c r="K111" s="37">
        <v>15</v>
      </c>
    </row>
    <row r="112" spans="1:11" s="14" customFormat="1" ht="27.6">
      <c r="A112" s="2514"/>
      <c r="B112" s="52" t="s">
        <v>1677</v>
      </c>
      <c r="C112" s="46">
        <v>95300</v>
      </c>
      <c r="D112" s="47" t="s">
        <v>1756</v>
      </c>
      <c r="E112" s="48" t="s">
        <v>1751</v>
      </c>
      <c r="F112" s="35">
        <v>3</v>
      </c>
      <c r="G112" s="47" t="s">
        <v>1678</v>
      </c>
      <c r="H112" s="48" t="s">
        <v>1679</v>
      </c>
      <c r="I112" s="49">
        <v>2</v>
      </c>
      <c r="J112" s="47" t="s">
        <v>1678</v>
      </c>
      <c r="K112" s="48" t="s">
        <v>1680</v>
      </c>
    </row>
    <row r="113" spans="1:11" s="14" customFormat="1" ht="27.6">
      <c r="A113" s="2514"/>
      <c r="B113" s="52" t="s">
        <v>1681</v>
      </c>
      <c r="C113" s="46">
        <v>100000</v>
      </c>
      <c r="D113" s="47" t="s">
        <v>1757</v>
      </c>
      <c r="E113" s="48" t="s">
        <v>1758</v>
      </c>
      <c r="F113" s="35" t="s">
        <v>1666</v>
      </c>
      <c r="G113" s="47" t="s">
        <v>1667</v>
      </c>
      <c r="H113" s="48" t="s">
        <v>1668</v>
      </c>
      <c r="I113" s="49" t="s">
        <v>1669</v>
      </c>
      <c r="J113" s="47" t="s">
        <v>1670</v>
      </c>
      <c r="K113" s="48" t="s">
        <v>1671</v>
      </c>
    </row>
    <row r="114" spans="1:11" s="14" customFormat="1" ht="13.8">
      <c r="A114" s="2515"/>
      <c r="B114" s="51" t="s">
        <v>570</v>
      </c>
      <c r="C114" s="35">
        <v>112000</v>
      </c>
      <c r="D114" s="36" t="s">
        <v>1754</v>
      </c>
      <c r="E114" s="37" t="s">
        <v>1755</v>
      </c>
      <c r="F114" s="35">
        <v>200</v>
      </c>
      <c r="G114" s="36">
        <v>70</v>
      </c>
      <c r="H114" s="37">
        <v>600</v>
      </c>
      <c r="I114" s="38">
        <v>4</v>
      </c>
      <c r="J114" s="36">
        <v>1.5</v>
      </c>
      <c r="K114" s="37">
        <v>15</v>
      </c>
    </row>
    <row r="115" spans="1:11" s="14" customFormat="1" ht="13.8">
      <c r="A115" s="2513" t="s">
        <v>1682</v>
      </c>
      <c r="B115" s="51" t="s">
        <v>1683</v>
      </c>
      <c r="C115" s="35">
        <v>70800</v>
      </c>
      <c r="D115" s="36" t="s">
        <v>1759</v>
      </c>
      <c r="E115" s="37" t="s">
        <v>1760</v>
      </c>
      <c r="F115" s="35">
        <v>3</v>
      </c>
      <c r="G115" s="36">
        <v>1</v>
      </c>
      <c r="H115" s="37">
        <v>10</v>
      </c>
      <c r="I115" s="38">
        <v>0.6</v>
      </c>
      <c r="J115" s="36">
        <v>0.2</v>
      </c>
      <c r="K115" s="37">
        <v>2</v>
      </c>
    </row>
    <row r="116" spans="1:11" s="14" customFormat="1" ht="13.8">
      <c r="A116" s="2514"/>
      <c r="B116" s="51" t="s">
        <v>1684</v>
      </c>
      <c r="C116" s="35">
        <v>70800</v>
      </c>
      <c r="D116" s="36" t="s">
        <v>1759</v>
      </c>
      <c r="E116" s="37" t="s">
        <v>1760</v>
      </c>
      <c r="F116" s="35">
        <v>3</v>
      </c>
      <c r="G116" s="36">
        <v>1</v>
      </c>
      <c r="H116" s="37">
        <v>10</v>
      </c>
      <c r="I116" s="38">
        <v>0.6</v>
      </c>
      <c r="J116" s="36">
        <v>0.2</v>
      </c>
      <c r="K116" s="37">
        <v>2</v>
      </c>
    </row>
    <row r="117" spans="1:11" s="14" customFormat="1" ht="13.8">
      <c r="A117" s="2515"/>
      <c r="B117" s="51" t="s">
        <v>1685</v>
      </c>
      <c r="C117" s="35">
        <v>79600</v>
      </c>
      <c r="D117" s="36" t="s">
        <v>1761</v>
      </c>
      <c r="E117" s="37" t="s">
        <v>1741</v>
      </c>
      <c r="F117" s="35">
        <v>3</v>
      </c>
      <c r="G117" s="36">
        <v>1</v>
      </c>
      <c r="H117" s="37">
        <v>10</v>
      </c>
      <c r="I117" s="38">
        <v>0.6</v>
      </c>
      <c r="J117" s="36">
        <v>0.2</v>
      </c>
      <c r="K117" s="37">
        <v>2</v>
      </c>
    </row>
    <row r="118" spans="1:11" s="14" customFormat="1" ht="13.8">
      <c r="A118" s="2513" t="s">
        <v>1686</v>
      </c>
      <c r="B118" s="51" t="s">
        <v>1687</v>
      </c>
      <c r="C118" s="35">
        <v>54600</v>
      </c>
      <c r="D118" s="36" t="s">
        <v>1762</v>
      </c>
      <c r="E118" s="37" t="s">
        <v>1763</v>
      </c>
      <c r="F118" s="35">
        <v>1</v>
      </c>
      <c r="G118" s="36">
        <v>0.3</v>
      </c>
      <c r="H118" s="37">
        <v>3</v>
      </c>
      <c r="I118" s="38">
        <v>0.1</v>
      </c>
      <c r="J118" s="36">
        <v>0.03</v>
      </c>
      <c r="K118" s="37">
        <v>0.3</v>
      </c>
    </row>
    <row r="119" spans="1:11" s="14" customFormat="1" ht="13.8">
      <c r="A119" s="2514"/>
      <c r="B119" s="51" t="s">
        <v>1688</v>
      </c>
      <c r="C119" s="35">
        <v>54600</v>
      </c>
      <c r="D119" s="36" t="s">
        <v>1762</v>
      </c>
      <c r="E119" s="37" t="s">
        <v>1763</v>
      </c>
      <c r="F119" s="35">
        <v>1</v>
      </c>
      <c r="G119" s="36">
        <v>0.3</v>
      </c>
      <c r="H119" s="37">
        <v>3</v>
      </c>
      <c r="I119" s="38">
        <v>0.1</v>
      </c>
      <c r="J119" s="36">
        <v>0.03</v>
      </c>
      <c r="K119" s="37">
        <v>0.3</v>
      </c>
    </row>
    <row r="120" spans="1:11" s="14" customFormat="1" ht="13.8">
      <c r="A120" s="2515"/>
      <c r="B120" s="51" t="s">
        <v>1689</v>
      </c>
      <c r="C120" s="35">
        <v>54600</v>
      </c>
      <c r="D120" s="36" t="s">
        <v>1762</v>
      </c>
      <c r="E120" s="37" t="s">
        <v>1763</v>
      </c>
      <c r="F120" s="35">
        <v>1</v>
      </c>
      <c r="G120" s="36">
        <v>0.3</v>
      </c>
      <c r="H120" s="37">
        <v>3</v>
      </c>
      <c r="I120" s="38">
        <v>0.1</v>
      </c>
      <c r="J120" s="36">
        <v>0.03</v>
      </c>
      <c r="K120" s="37">
        <v>0.3</v>
      </c>
    </row>
    <row r="121" spans="1:11" s="14" customFormat="1" ht="28.2" thickBot="1">
      <c r="A121" s="54" t="s">
        <v>1690</v>
      </c>
      <c r="B121" s="55" t="s">
        <v>1691</v>
      </c>
      <c r="C121" s="56">
        <v>100000</v>
      </c>
      <c r="D121" s="57" t="s">
        <v>1757</v>
      </c>
      <c r="E121" s="58" t="s">
        <v>1758</v>
      </c>
      <c r="F121" s="56" t="s">
        <v>1666</v>
      </c>
      <c r="G121" s="57" t="s">
        <v>1667</v>
      </c>
      <c r="H121" s="58" t="s">
        <v>1668</v>
      </c>
      <c r="I121" s="59" t="s">
        <v>1669</v>
      </c>
      <c r="J121" s="57" t="s">
        <v>1670</v>
      </c>
      <c r="K121" s="58" t="s">
        <v>1671</v>
      </c>
    </row>
    <row r="122" spans="1:11" s="14" customFormat="1" ht="12.75" customHeight="1">
      <c r="A122" s="2500" t="s">
        <v>1692</v>
      </c>
      <c r="B122" s="2501"/>
      <c r="C122" s="2501"/>
      <c r="D122" s="2501"/>
      <c r="E122" s="2501"/>
      <c r="F122" s="2501"/>
      <c r="G122" s="2501"/>
      <c r="H122" s="2501"/>
      <c r="I122" s="2501"/>
      <c r="J122" s="2501"/>
      <c r="K122" s="2502"/>
    </row>
    <row r="123" spans="1:11" s="14" customFormat="1" ht="14.25" customHeight="1">
      <c r="A123" s="2503"/>
      <c r="B123" s="2504"/>
      <c r="C123" s="2504"/>
      <c r="D123" s="2504"/>
      <c r="E123" s="2504"/>
      <c r="F123" s="2504"/>
      <c r="G123" s="2504"/>
      <c r="H123" s="2504"/>
      <c r="I123" s="2504"/>
      <c r="J123" s="2504"/>
      <c r="K123" s="2505"/>
    </row>
    <row r="124" spans="1:11" s="14" customFormat="1" ht="15" customHeight="1" thickBot="1">
      <c r="A124" s="2506"/>
      <c r="B124" s="2507"/>
      <c r="C124" s="2507"/>
      <c r="D124" s="2507"/>
      <c r="E124" s="2507"/>
      <c r="F124" s="2507"/>
      <c r="G124" s="2507"/>
      <c r="H124" s="2507"/>
      <c r="I124" s="2507"/>
      <c r="J124" s="2507"/>
      <c r="K124" s="2508"/>
    </row>
    <row r="125" spans="1:11" s="3" customFormat="1" ht="13.2"/>
    <row r="126" spans="1:11" s="3" customFormat="1" ht="13.2"/>
    <row r="127" spans="1:11" s="14" customFormat="1" ht="14.4" thickBot="1">
      <c r="A127" s="14" t="s">
        <v>1764</v>
      </c>
    </row>
    <row r="128" spans="1:11" s="14" customFormat="1" ht="15.6" thickBot="1">
      <c r="A128" s="2527" t="s">
        <v>597</v>
      </c>
      <c r="B128" s="2539"/>
      <c r="C128" s="2522" t="s">
        <v>1605</v>
      </c>
      <c r="D128" s="2523"/>
      <c r="E128" s="2524"/>
      <c r="F128" s="2522" t="s">
        <v>1606</v>
      </c>
      <c r="G128" s="2523"/>
      <c r="H128" s="2524"/>
      <c r="I128" s="2522" t="s">
        <v>1607</v>
      </c>
      <c r="J128" s="2523"/>
      <c r="K128" s="2524"/>
    </row>
    <row r="129" spans="1:11" s="14" customFormat="1" ht="14.4" thickBot="1">
      <c r="A129" s="2529"/>
      <c r="B129" s="2540"/>
      <c r="C129" s="60" t="s">
        <v>637</v>
      </c>
      <c r="D129" s="790" t="s">
        <v>586</v>
      </c>
      <c r="E129" s="791" t="s">
        <v>587</v>
      </c>
      <c r="F129" s="60" t="s">
        <v>637</v>
      </c>
      <c r="G129" s="790" t="s">
        <v>586</v>
      </c>
      <c r="H129" s="791" t="s">
        <v>587</v>
      </c>
      <c r="I129" s="1003" t="s">
        <v>637</v>
      </c>
      <c r="J129" s="790" t="s">
        <v>586</v>
      </c>
      <c r="K129" s="791" t="s">
        <v>587</v>
      </c>
    </row>
    <row r="130" spans="1:11" s="14" customFormat="1" ht="13.8">
      <c r="A130" s="2525" t="s">
        <v>541</v>
      </c>
      <c r="B130" s="2538"/>
      <c r="C130" s="31">
        <v>73300</v>
      </c>
      <c r="D130" s="32" t="s">
        <v>1694</v>
      </c>
      <c r="E130" s="33" t="s">
        <v>1695</v>
      </c>
      <c r="F130" s="31">
        <v>10</v>
      </c>
      <c r="G130" s="32">
        <v>3</v>
      </c>
      <c r="H130" s="33">
        <v>30</v>
      </c>
      <c r="I130" s="34">
        <v>0.6</v>
      </c>
      <c r="J130" s="32">
        <v>0.2</v>
      </c>
      <c r="K130" s="33">
        <v>2</v>
      </c>
    </row>
    <row r="131" spans="1:11" s="14" customFormat="1" ht="13.8">
      <c r="A131" s="2516" t="s">
        <v>1617</v>
      </c>
      <c r="B131" s="2537"/>
      <c r="C131" s="35" t="s">
        <v>1765</v>
      </c>
      <c r="D131" s="36" t="s">
        <v>1696</v>
      </c>
      <c r="E131" s="37" t="s">
        <v>1697</v>
      </c>
      <c r="F131" s="35">
        <v>10</v>
      </c>
      <c r="G131" s="36">
        <v>3</v>
      </c>
      <c r="H131" s="37">
        <v>30</v>
      </c>
      <c r="I131" s="38">
        <v>0.6</v>
      </c>
      <c r="J131" s="36">
        <v>0.2</v>
      </c>
      <c r="K131" s="37">
        <v>2</v>
      </c>
    </row>
    <row r="132" spans="1:11" s="14" customFormat="1" ht="13.8">
      <c r="A132" s="2516" t="s">
        <v>1628</v>
      </c>
      <c r="B132" s="2531"/>
      <c r="C132" s="35" t="s">
        <v>1766</v>
      </c>
      <c r="D132" s="36" t="s">
        <v>1698</v>
      </c>
      <c r="E132" s="37" t="s">
        <v>1699</v>
      </c>
      <c r="F132" s="35">
        <v>10</v>
      </c>
      <c r="G132" s="36">
        <v>3</v>
      </c>
      <c r="H132" s="37">
        <v>30</v>
      </c>
      <c r="I132" s="38">
        <v>0.6</v>
      </c>
      <c r="J132" s="36">
        <v>0.2</v>
      </c>
      <c r="K132" s="37">
        <v>2</v>
      </c>
    </row>
    <row r="133" spans="1:11" s="14" customFormat="1" ht="13.8">
      <c r="A133" s="2513" t="s">
        <v>384</v>
      </c>
      <c r="B133" s="879" t="s">
        <v>1630</v>
      </c>
      <c r="C133" s="35">
        <v>69300</v>
      </c>
      <c r="D133" s="36" t="s">
        <v>1700</v>
      </c>
      <c r="E133" s="37" t="s">
        <v>1701</v>
      </c>
      <c r="F133" s="35">
        <v>10</v>
      </c>
      <c r="G133" s="36">
        <v>3</v>
      </c>
      <c r="H133" s="37">
        <v>30</v>
      </c>
      <c r="I133" s="38">
        <v>0.6</v>
      </c>
      <c r="J133" s="36">
        <v>0.2</v>
      </c>
      <c r="K133" s="37">
        <v>2</v>
      </c>
    </row>
    <row r="134" spans="1:11" s="14" customFormat="1" ht="13.8">
      <c r="A134" s="2514"/>
      <c r="B134" s="879" t="s">
        <v>1634</v>
      </c>
      <c r="C134" s="35" t="s">
        <v>1767</v>
      </c>
      <c r="D134" s="36" t="s">
        <v>1700</v>
      </c>
      <c r="E134" s="37" t="s">
        <v>1701</v>
      </c>
      <c r="F134" s="35">
        <v>10</v>
      </c>
      <c r="G134" s="36">
        <v>3</v>
      </c>
      <c r="H134" s="37">
        <v>30</v>
      </c>
      <c r="I134" s="38">
        <v>0.6</v>
      </c>
      <c r="J134" s="36">
        <v>0.2</v>
      </c>
      <c r="K134" s="37">
        <v>2</v>
      </c>
    </row>
    <row r="135" spans="1:11" s="14" customFormat="1" ht="13.8">
      <c r="A135" s="2515"/>
      <c r="B135" s="879" t="s">
        <v>1638</v>
      </c>
      <c r="C135" s="35">
        <v>70000</v>
      </c>
      <c r="D135" s="36" t="s">
        <v>1700</v>
      </c>
      <c r="E135" s="37" t="s">
        <v>1701</v>
      </c>
      <c r="F135" s="35">
        <v>10</v>
      </c>
      <c r="G135" s="36">
        <v>3</v>
      </c>
      <c r="H135" s="37">
        <v>30</v>
      </c>
      <c r="I135" s="38">
        <v>0.6</v>
      </c>
      <c r="J135" s="36">
        <v>0.2</v>
      </c>
      <c r="K135" s="37">
        <v>2</v>
      </c>
    </row>
    <row r="136" spans="1:11" s="14" customFormat="1" ht="13.8">
      <c r="A136" s="2518" t="s">
        <v>1639</v>
      </c>
      <c r="B136" s="2531"/>
      <c r="C136" s="35">
        <v>71500</v>
      </c>
      <c r="D136" s="36" t="s">
        <v>1702</v>
      </c>
      <c r="E136" s="37" t="s">
        <v>1703</v>
      </c>
      <c r="F136" s="35">
        <v>10</v>
      </c>
      <c r="G136" s="36">
        <v>3</v>
      </c>
      <c r="H136" s="37">
        <v>30</v>
      </c>
      <c r="I136" s="38">
        <v>0.6</v>
      </c>
      <c r="J136" s="36">
        <v>0.2</v>
      </c>
      <c r="K136" s="37">
        <v>2</v>
      </c>
    </row>
    <row r="137" spans="1:11" s="14" customFormat="1" ht="13.8">
      <c r="A137" s="2509" t="s">
        <v>711</v>
      </c>
      <c r="B137" s="2535"/>
      <c r="C137" s="35">
        <v>71900</v>
      </c>
      <c r="D137" s="36" t="s">
        <v>1704</v>
      </c>
      <c r="E137" s="37" t="s">
        <v>1705</v>
      </c>
      <c r="F137" s="35">
        <v>10</v>
      </c>
      <c r="G137" s="36">
        <v>3</v>
      </c>
      <c r="H137" s="37">
        <v>30</v>
      </c>
      <c r="I137" s="38">
        <v>0.6</v>
      </c>
      <c r="J137" s="36">
        <v>0.2</v>
      </c>
      <c r="K137" s="37">
        <v>2</v>
      </c>
    </row>
    <row r="138" spans="1:11" s="14" customFormat="1" ht="13.8">
      <c r="A138" s="2509" t="s">
        <v>1640</v>
      </c>
      <c r="B138" s="2535"/>
      <c r="C138" s="1870">
        <v>73300</v>
      </c>
      <c r="D138" s="1871" t="s">
        <v>1706</v>
      </c>
      <c r="E138" s="1872" t="s">
        <v>1707</v>
      </c>
      <c r="F138" s="1870">
        <v>10</v>
      </c>
      <c r="G138" s="1871">
        <v>3</v>
      </c>
      <c r="H138" s="1872">
        <v>30</v>
      </c>
      <c r="I138" s="1873">
        <v>0.6</v>
      </c>
      <c r="J138" s="1871">
        <v>0.2</v>
      </c>
      <c r="K138" s="1872">
        <v>2</v>
      </c>
    </row>
    <row r="139" spans="1:11" s="14" customFormat="1" ht="13.8">
      <c r="A139" s="2509" t="s">
        <v>713</v>
      </c>
      <c r="B139" s="2535"/>
      <c r="C139" s="1870">
        <v>74100</v>
      </c>
      <c r="D139" s="1871" t="s">
        <v>1708</v>
      </c>
      <c r="E139" s="1872" t="s">
        <v>1709</v>
      </c>
      <c r="F139" s="1870">
        <v>10</v>
      </c>
      <c r="G139" s="1871">
        <v>3</v>
      </c>
      <c r="H139" s="1872">
        <v>30</v>
      </c>
      <c r="I139" s="1873">
        <v>0.6</v>
      </c>
      <c r="J139" s="1871">
        <v>0.2</v>
      </c>
      <c r="K139" s="1872">
        <v>2</v>
      </c>
    </row>
    <row r="140" spans="1:11" s="14" customFormat="1" ht="13.8">
      <c r="A140" s="2509" t="s">
        <v>715</v>
      </c>
      <c r="B140" s="2535"/>
      <c r="C140" s="1870">
        <v>77400</v>
      </c>
      <c r="D140" s="1871" t="s">
        <v>1695</v>
      </c>
      <c r="E140" s="1872" t="s">
        <v>1710</v>
      </c>
      <c r="F140" s="1870">
        <v>10</v>
      </c>
      <c r="G140" s="1871">
        <v>3</v>
      </c>
      <c r="H140" s="1872">
        <v>30</v>
      </c>
      <c r="I140" s="1873">
        <v>0.6</v>
      </c>
      <c r="J140" s="1871">
        <v>0.2</v>
      </c>
      <c r="K140" s="1872">
        <v>2</v>
      </c>
    </row>
    <row r="141" spans="1:11" s="14" customFormat="1" ht="13.8">
      <c r="A141" s="2509" t="s">
        <v>718</v>
      </c>
      <c r="B141" s="2535"/>
      <c r="C141" s="1870">
        <v>63100</v>
      </c>
      <c r="D141" s="1871" t="s">
        <v>1711</v>
      </c>
      <c r="E141" s="1872" t="s">
        <v>1712</v>
      </c>
      <c r="F141" s="1870">
        <v>5</v>
      </c>
      <c r="G141" s="1871">
        <v>1.5</v>
      </c>
      <c r="H141" s="1872">
        <v>15</v>
      </c>
      <c r="I141" s="1873">
        <v>0.1</v>
      </c>
      <c r="J141" s="1871">
        <v>0.03</v>
      </c>
      <c r="K141" s="1872">
        <v>0.3</v>
      </c>
    </row>
    <row r="142" spans="1:11" s="14" customFormat="1" ht="13.8">
      <c r="A142" s="2509" t="s">
        <v>1641</v>
      </c>
      <c r="B142" s="2535"/>
      <c r="C142" s="1870">
        <v>61600</v>
      </c>
      <c r="D142" s="1871" t="s">
        <v>1713</v>
      </c>
      <c r="E142" s="1872" t="s">
        <v>1714</v>
      </c>
      <c r="F142" s="1870">
        <v>5</v>
      </c>
      <c r="G142" s="1871">
        <v>1.5</v>
      </c>
      <c r="H142" s="1872">
        <v>15</v>
      </c>
      <c r="I142" s="1873">
        <v>0.1</v>
      </c>
      <c r="J142" s="1871">
        <v>0.03</v>
      </c>
      <c r="K142" s="1872">
        <v>0.3</v>
      </c>
    </row>
    <row r="143" spans="1:11" s="14" customFormat="1" ht="13.8">
      <c r="A143" s="2509" t="s">
        <v>1642</v>
      </c>
      <c r="B143" s="2535"/>
      <c r="C143" s="1870">
        <v>73300</v>
      </c>
      <c r="D143" s="1871" t="s">
        <v>1696</v>
      </c>
      <c r="E143" s="1872" t="s">
        <v>1715</v>
      </c>
      <c r="F143" s="1870">
        <v>10</v>
      </c>
      <c r="G143" s="1871">
        <v>3</v>
      </c>
      <c r="H143" s="1872">
        <v>30</v>
      </c>
      <c r="I143" s="1873">
        <v>0.6</v>
      </c>
      <c r="J143" s="1871">
        <v>0.2</v>
      </c>
      <c r="K143" s="1872">
        <v>2</v>
      </c>
    </row>
    <row r="144" spans="1:11" s="14" customFormat="1" ht="13.8">
      <c r="A144" s="2509" t="s">
        <v>1643</v>
      </c>
      <c r="B144" s="2535"/>
      <c r="C144" s="1870">
        <v>80700</v>
      </c>
      <c r="D144" s="1871" t="s">
        <v>1701</v>
      </c>
      <c r="E144" s="1872" t="s">
        <v>1716</v>
      </c>
      <c r="F144" s="1870">
        <v>10</v>
      </c>
      <c r="G144" s="1871">
        <v>3</v>
      </c>
      <c r="H144" s="1872">
        <v>30</v>
      </c>
      <c r="I144" s="1873">
        <v>0.6</v>
      </c>
      <c r="J144" s="1871">
        <v>0.2</v>
      </c>
      <c r="K144" s="1872">
        <v>2</v>
      </c>
    </row>
    <row r="145" spans="1:11" s="14" customFormat="1" ht="13.8">
      <c r="A145" s="2509" t="s">
        <v>1644</v>
      </c>
      <c r="B145" s="2535"/>
      <c r="C145" s="1870">
        <v>73300</v>
      </c>
      <c r="D145" s="1871" t="s">
        <v>1717</v>
      </c>
      <c r="E145" s="1872" t="s">
        <v>1718</v>
      </c>
      <c r="F145" s="1870">
        <v>10</v>
      </c>
      <c r="G145" s="1871">
        <v>3</v>
      </c>
      <c r="H145" s="1872">
        <v>30</v>
      </c>
      <c r="I145" s="1873">
        <v>0.6</v>
      </c>
      <c r="J145" s="1871">
        <v>0.2</v>
      </c>
      <c r="K145" s="1872">
        <v>2</v>
      </c>
    </row>
    <row r="146" spans="1:11" s="14" customFormat="1" ht="13.8">
      <c r="A146" s="2509" t="s">
        <v>1645</v>
      </c>
      <c r="B146" s="2535"/>
      <c r="C146" s="1870" t="s">
        <v>1768</v>
      </c>
      <c r="D146" s="1871" t="s">
        <v>1719</v>
      </c>
      <c r="E146" s="1872" t="s">
        <v>1720</v>
      </c>
      <c r="F146" s="1870">
        <v>10</v>
      </c>
      <c r="G146" s="1871">
        <v>3</v>
      </c>
      <c r="H146" s="1872">
        <v>30</v>
      </c>
      <c r="I146" s="1873">
        <v>0.6</v>
      </c>
      <c r="J146" s="1871">
        <v>0.2</v>
      </c>
      <c r="K146" s="1872">
        <v>2</v>
      </c>
    </row>
    <row r="147" spans="1:11" s="14" customFormat="1" ht="13.8">
      <c r="A147" s="2511" t="s">
        <v>1646</v>
      </c>
      <c r="B147" s="2535"/>
      <c r="C147" s="1870">
        <v>73300</v>
      </c>
      <c r="D147" s="1871" t="s">
        <v>1721</v>
      </c>
      <c r="E147" s="1872" t="s">
        <v>1722</v>
      </c>
      <c r="F147" s="1870">
        <v>10</v>
      </c>
      <c r="G147" s="1871">
        <v>3</v>
      </c>
      <c r="H147" s="1872">
        <v>30</v>
      </c>
      <c r="I147" s="1873">
        <v>0.6</v>
      </c>
      <c r="J147" s="1871">
        <v>0.2</v>
      </c>
      <c r="K147" s="1872">
        <v>2</v>
      </c>
    </row>
    <row r="148" spans="1:11" s="14" customFormat="1" ht="13.8">
      <c r="A148" s="2513" t="s">
        <v>724</v>
      </c>
      <c r="B148" s="39" t="s">
        <v>725</v>
      </c>
      <c r="C148" s="1870" t="s">
        <v>1769</v>
      </c>
      <c r="D148" s="1871" t="s">
        <v>1723</v>
      </c>
      <c r="E148" s="1872" t="s">
        <v>1724</v>
      </c>
      <c r="F148" s="1870">
        <v>5</v>
      </c>
      <c r="G148" s="1871">
        <v>1.5</v>
      </c>
      <c r="H148" s="1872">
        <v>15</v>
      </c>
      <c r="I148" s="1873">
        <v>0.1</v>
      </c>
      <c r="J148" s="1871">
        <v>0.03</v>
      </c>
      <c r="K148" s="1872">
        <v>0.3</v>
      </c>
    </row>
    <row r="149" spans="1:11" s="14" customFormat="1" ht="13.8">
      <c r="A149" s="2514"/>
      <c r="B149" s="39" t="s">
        <v>729</v>
      </c>
      <c r="C149" s="1870">
        <v>73300</v>
      </c>
      <c r="D149" s="1871" t="s">
        <v>1725</v>
      </c>
      <c r="E149" s="1872" t="s">
        <v>1703</v>
      </c>
      <c r="F149" s="1870">
        <v>10</v>
      </c>
      <c r="G149" s="1871">
        <v>3</v>
      </c>
      <c r="H149" s="1872">
        <v>30</v>
      </c>
      <c r="I149" s="1873">
        <v>0.6</v>
      </c>
      <c r="J149" s="1871">
        <v>0.2</v>
      </c>
      <c r="K149" s="1872">
        <v>2</v>
      </c>
    </row>
    <row r="150" spans="1:11" s="14" customFormat="1" ht="13.8">
      <c r="A150" s="2514"/>
      <c r="B150" s="39" t="s">
        <v>1647</v>
      </c>
      <c r="C150" s="1870">
        <v>73300</v>
      </c>
      <c r="D150" s="1871" t="s">
        <v>1725</v>
      </c>
      <c r="E150" s="1872" t="s">
        <v>1703</v>
      </c>
      <c r="F150" s="1870">
        <v>10</v>
      </c>
      <c r="G150" s="1871">
        <v>3</v>
      </c>
      <c r="H150" s="1872">
        <v>30</v>
      </c>
      <c r="I150" s="1873">
        <v>0.6</v>
      </c>
      <c r="J150" s="1871">
        <v>0.2</v>
      </c>
      <c r="K150" s="1872">
        <v>2</v>
      </c>
    </row>
    <row r="151" spans="1:11" s="14" customFormat="1" ht="13.8">
      <c r="A151" s="2515"/>
      <c r="B151" s="39" t="s">
        <v>1648</v>
      </c>
      <c r="C151" s="35">
        <v>73300</v>
      </c>
      <c r="D151" s="36" t="s">
        <v>1725</v>
      </c>
      <c r="E151" s="37" t="s">
        <v>1703</v>
      </c>
      <c r="F151" s="35">
        <v>10</v>
      </c>
      <c r="G151" s="36">
        <v>3</v>
      </c>
      <c r="H151" s="37">
        <v>30</v>
      </c>
      <c r="I151" s="38">
        <v>0.6</v>
      </c>
      <c r="J151" s="36">
        <v>0.2</v>
      </c>
      <c r="K151" s="37">
        <v>2</v>
      </c>
    </row>
    <row r="152" spans="1:11" s="14" customFormat="1" ht="13.8">
      <c r="A152" s="40" t="s">
        <v>1649</v>
      </c>
      <c r="B152" s="41"/>
      <c r="C152" s="35">
        <v>98300</v>
      </c>
      <c r="D152" s="36" t="s">
        <v>1726</v>
      </c>
      <c r="E152" s="37" t="s">
        <v>1727</v>
      </c>
      <c r="F152" s="35">
        <v>10</v>
      </c>
      <c r="G152" s="36">
        <v>3</v>
      </c>
      <c r="H152" s="37">
        <v>30</v>
      </c>
      <c r="I152" s="38">
        <v>1.5</v>
      </c>
      <c r="J152" s="36">
        <v>0.5</v>
      </c>
      <c r="K152" s="37">
        <v>5</v>
      </c>
    </row>
    <row r="153" spans="1:11" s="14" customFormat="1" ht="13.8">
      <c r="A153" s="42" t="s">
        <v>1650</v>
      </c>
      <c r="B153" s="43"/>
      <c r="C153" s="35">
        <v>94600</v>
      </c>
      <c r="D153" s="36" t="s">
        <v>1728</v>
      </c>
      <c r="E153" s="37" t="s">
        <v>1727</v>
      </c>
      <c r="F153" s="35">
        <v>10</v>
      </c>
      <c r="G153" s="36">
        <v>3</v>
      </c>
      <c r="H153" s="37">
        <v>30</v>
      </c>
      <c r="I153" s="38">
        <v>1.5</v>
      </c>
      <c r="J153" s="36">
        <v>0.5</v>
      </c>
      <c r="K153" s="37">
        <v>5</v>
      </c>
    </row>
    <row r="154" spans="1:11" s="14" customFormat="1" ht="13.8">
      <c r="A154" s="42" t="s">
        <v>1651</v>
      </c>
      <c r="B154" s="43"/>
      <c r="C154" s="35">
        <v>94600</v>
      </c>
      <c r="D154" s="36" t="s">
        <v>1729</v>
      </c>
      <c r="E154" s="37" t="s">
        <v>1730</v>
      </c>
      <c r="F154" s="35">
        <v>10</v>
      </c>
      <c r="G154" s="36">
        <v>3</v>
      </c>
      <c r="H154" s="37">
        <v>30</v>
      </c>
      <c r="I154" s="38">
        <v>1.5</v>
      </c>
      <c r="J154" s="36">
        <v>0.5</v>
      </c>
      <c r="K154" s="37">
        <v>5</v>
      </c>
    </row>
    <row r="155" spans="1:11" s="14" customFormat="1" ht="13.8">
      <c r="A155" s="42" t="s">
        <v>1652</v>
      </c>
      <c r="B155" s="43"/>
      <c r="C155" s="35">
        <v>96100</v>
      </c>
      <c r="D155" s="36" t="s">
        <v>1731</v>
      </c>
      <c r="E155" s="37" t="s">
        <v>1732</v>
      </c>
      <c r="F155" s="35">
        <v>10</v>
      </c>
      <c r="G155" s="36">
        <v>3</v>
      </c>
      <c r="H155" s="37">
        <v>30</v>
      </c>
      <c r="I155" s="38">
        <v>1.5</v>
      </c>
      <c r="J155" s="36">
        <v>0.5</v>
      </c>
      <c r="K155" s="37">
        <v>5</v>
      </c>
    </row>
    <row r="156" spans="1:11" s="14" customFormat="1" ht="13.8">
      <c r="A156" s="42" t="s">
        <v>1653</v>
      </c>
      <c r="B156" s="43"/>
      <c r="C156" s="35">
        <v>101000</v>
      </c>
      <c r="D156" s="36" t="s">
        <v>1733</v>
      </c>
      <c r="E156" s="37" t="s">
        <v>1720</v>
      </c>
      <c r="F156" s="35">
        <v>10</v>
      </c>
      <c r="G156" s="36">
        <v>3</v>
      </c>
      <c r="H156" s="37">
        <v>30</v>
      </c>
      <c r="I156" s="38">
        <v>1.5</v>
      </c>
      <c r="J156" s="36">
        <v>0.5</v>
      </c>
      <c r="K156" s="37">
        <v>5</v>
      </c>
    </row>
    <row r="157" spans="1:11" s="14" customFormat="1" ht="13.8">
      <c r="A157" s="42" t="s">
        <v>1654</v>
      </c>
      <c r="B157" s="43"/>
      <c r="C157" s="35">
        <v>107000</v>
      </c>
      <c r="D157" s="36" t="s">
        <v>1734</v>
      </c>
      <c r="E157" s="37" t="s">
        <v>1735</v>
      </c>
      <c r="F157" s="35">
        <v>10</v>
      </c>
      <c r="G157" s="36">
        <v>3</v>
      </c>
      <c r="H157" s="37">
        <v>30</v>
      </c>
      <c r="I157" s="38" t="s">
        <v>1736</v>
      </c>
      <c r="J157" s="36">
        <v>0.5</v>
      </c>
      <c r="K157" s="37">
        <v>5</v>
      </c>
    </row>
    <row r="158" spans="1:11" s="14" customFormat="1" ht="13.8">
      <c r="A158" s="42" t="s">
        <v>1655</v>
      </c>
      <c r="B158" s="43"/>
      <c r="C158" s="35">
        <v>97500</v>
      </c>
      <c r="D158" s="36" t="s">
        <v>1728</v>
      </c>
      <c r="E158" s="37" t="s">
        <v>1737</v>
      </c>
      <c r="F158" s="35">
        <v>10</v>
      </c>
      <c r="G158" s="36">
        <v>3</v>
      </c>
      <c r="H158" s="37">
        <v>30</v>
      </c>
      <c r="I158" s="38">
        <v>1.5</v>
      </c>
      <c r="J158" s="36">
        <v>0.5</v>
      </c>
      <c r="K158" s="37">
        <v>5</v>
      </c>
    </row>
    <row r="159" spans="1:11" s="14" customFormat="1" ht="13.8">
      <c r="A159" s="44" t="s">
        <v>1656</v>
      </c>
      <c r="B159" s="43"/>
      <c r="C159" s="35">
        <v>97500</v>
      </c>
      <c r="D159" s="36" t="s">
        <v>1728</v>
      </c>
      <c r="E159" s="37" t="s">
        <v>1737</v>
      </c>
      <c r="F159" s="35">
        <v>10</v>
      </c>
      <c r="G159" s="36">
        <v>3</v>
      </c>
      <c r="H159" s="37">
        <v>30</v>
      </c>
      <c r="I159" s="38" t="s">
        <v>1736</v>
      </c>
      <c r="J159" s="36">
        <v>0.5</v>
      </c>
      <c r="K159" s="37">
        <v>5</v>
      </c>
    </row>
    <row r="160" spans="1:11" s="14" customFormat="1" ht="27.6">
      <c r="A160" s="2536" t="s">
        <v>531</v>
      </c>
      <c r="B160" s="45" t="s">
        <v>1657</v>
      </c>
      <c r="C160" s="35">
        <v>107000</v>
      </c>
      <c r="D160" s="36" t="s">
        <v>1738</v>
      </c>
      <c r="E160" s="37" t="s">
        <v>1739</v>
      </c>
      <c r="F160" s="35">
        <v>10</v>
      </c>
      <c r="G160" s="36">
        <v>3</v>
      </c>
      <c r="H160" s="37">
        <v>30</v>
      </c>
      <c r="I160" s="38">
        <v>1.5</v>
      </c>
      <c r="J160" s="36">
        <v>0.5</v>
      </c>
      <c r="K160" s="37">
        <v>5</v>
      </c>
    </row>
    <row r="161" spans="1:11" s="14" customFormat="1" ht="13.8">
      <c r="A161" s="2536"/>
      <c r="B161" s="879" t="s">
        <v>1658</v>
      </c>
      <c r="C161" s="35" t="s">
        <v>1770</v>
      </c>
      <c r="D161" s="36" t="s">
        <v>1738</v>
      </c>
      <c r="E161" s="37" t="s">
        <v>1739</v>
      </c>
      <c r="F161" s="35">
        <v>5</v>
      </c>
      <c r="G161" s="36">
        <v>1.5</v>
      </c>
      <c r="H161" s="37">
        <v>15</v>
      </c>
      <c r="I161" s="38">
        <v>0.1</v>
      </c>
      <c r="J161" s="36">
        <v>0.03</v>
      </c>
      <c r="K161" s="37">
        <v>0.3</v>
      </c>
    </row>
    <row r="162" spans="1:11" s="14" customFormat="1" ht="13.8">
      <c r="A162" s="2516" t="s">
        <v>1659</v>
      </c>
      <c r="B162" s="2537"/>
      <c r="C162" s="35" t="s">
        <v>1771</v>
      </c>
      <c r="D162" s="36" t="s">
        <v>1740</v>
      </c>
      <c r="E162" s="37" t="s">
        <v>1741</v>
      </c>
      <c r="F162" s="35">
        <v>10</v>
      </c>
      <c r="G162" s="36">
        <v>30</v>
      </c>
      <c r="H162" s="37">
        <v>30</v>
      </c>
      <c r="I162" s="38" t="s">
        <v>1736</v>
      </c>
      <c r="J162" s="36">
        <v>0.5</v>
      </c>
      <c r="K162" s="37">
        <v>5</v>
      </c>
    </row>
    <row r="163" spans="1:11" s="14" customFormat="1" ht="13.8">
      <c r="A163" s="2513" t="s">
        <v>1660</v>
      </c>
      <c r="B163" s="43" t="s">
        <v>1661</v>
      </c>
      <c r="C163" s="35" t="s">
        <v>1772</v>
      </c>
      <c r="D163" s="36" t="s">
        <v>1742</v>
      </c>
      <c r="E163" s="37" t="s">
        <v>1743</v>
      </c>
      <c r="F163" s="35">
        <v>5</v>
      </c>
      <c r="G163" s="36">
        <v>1.5</v>
      </c>
      <c r="H163" s="37">
        <v>15</v>
      </c>
      <c r="I163" s="38">
        <v>0.1</v>
      </c>
      <c r="J163" s="36">
        <v>0.03</v>
      </c>
      <c r="K163" s="37">
        <v>0.3</v>
      </c>
    </row>
    <row r="164" spans="1:11" s="14" customFormat="1" ht="13.8">
      <c r="A164" s="2514"/>
      <c r="B164" s="43" t="s">
        <v>1662</v>
      </c>
      <c r="C164" s="35" t="s">
        <v>1772</v>
      </c>
      <c r="D164" s="36" t="s">
        <v>1742</v>
      </c>
      <c r="E164" s="37" t="s">
        <v>1743</v>
      </c>
      <c r="F164" s="35">
        <v>5</v>
      </c>
      <c r="G164" s="36">
        <v>1.5</v>
      </c>
      <c r="H164" s="37">
        <v>15</v>
      </c>
      <c r="I164" s="38">
        <v>0.1</v>
      </c>
      <c r="J164" s="36">
        <v>0.03</v>
      </c>
      <c r="K164" s="37">
        <v>0.3</v>
      </c>
    </row>
    <row r="165" spans="1:11" s="14" customFormat="1" ht="13.8">
      <c r="A165" s="2514"/>
      <c r="B165" s="43" t="s">
        <v>1663</v>
      </c>
      <c r="C165" s="35" t="s">
        <v>1773</v>
      </c>
      <c r="D165" s="36" t="s">
        <v>1744</v>
      </c>
      <c r="E165" s="37" t="s">
        <v>1745</v>
      </c>
      <c r="F165" s="35">
        <v>5</v>
      </c>
      <c r="G165" s="36">
        <v>1.5</v>
      </c>
      <c r="H165" s="37">
        <v>15</v>
      </c>
      <c r="I165" s="38">
        <v>0.1</v>
      </c>
      <c r="J165" s="36">
        <v>0.03</v>
      </c>
      <c r="K165" s="37">
        <v>0.3</v>
      </c>
    </row>
    <row r="166" spans="1:11" s="14" customFormat="1" ht="13.8">
      <c r="A166" s="2515"/>
      <c r="B166" s="43" t="s">
        <v>1664</v>
      </c>
      <c r="C166" s="35" t="s">
        <v>1774</v>
      </c>
      <c r="D166" s="36" t="s">
        <v>1746</v>
      </c>
      <c r="E166" s="37" t="s">
        <v>1747</v>
      </c>
      <c r="F166" s="35">
        <v>5</v>
      </c>
      <c r="G166" s="36">
        <v>1.5</v>
      </c>
      <c r="H166" s="37">
        <v>15</v>
      </c>
      <c r="I166" s="38">
        <v>0.1</v>
      </c>
      <c r="J166" s="36">
        <v>0.03</v>
      </c>
      <c r="K166" s="37">
        <v>0.3</v>
      </c>
    </row>
    <row r="167" spans="1:11" s="14" customFormat="1" ht="13.8">
      <c r="A167" s="2518" t="s">
        <v>736</v>
      </c>
      <c r="B167" s="2531"/>
      <c r="C167" s="35">
        <v>56100</v>
      </c>
      <c r="D167" s="36" t="s">
        <v>1748</v>
      </c>
      <c r="E167" s="37" t="s">
        <v>1698</v>
      </c>
      <c r="F167" s="35">
        <v>5</v>
      </c>
      <c r="G167" s="36">
        <v>1.5</v>
      </c>
      <c r="H167" s="37">
        <v>15</v>
      </c>
      <c r="I167" s="38">
        <v>0.1</v>
      </c>
      <c r="J167" s="36">
        <v>0.03</v>
      </c>
      <c r="K167" s="37">
        <v>0.3</v>
      </c>
    </row>
    <row r="168" spans="1:11" s="14" customFormat="1" ht="13.8">
      <c r="A168" s="2532" t="s">
        <v>1665</v>
      </c>
      <c r="B168" s="2533"/>
      <c r="C168" s="46" t="s">
        <v>1775</v>
      </c>
      <c r="D168" s="47" t="s">
        <v>1749</v>
      </c>
      <c r="E168" s="48" t="s">
        <v>1750</v>
      </c>
      <c r="F168" s="46">
        <v>300</v>
      </c>
      <c r="G168" s="47">
        <v>100</v>
      </c>
      <c r="H168" s="48">
        <v>900</v>
      </c>
      <c r="I168" s="49" t="s">
        <v>1669</v>
      </c>
      <c r="J168" s="47" t="s">
        <v>1670</v>
      </c>
      <c r="K168" s="48" t="s">
        <v>1671</v>
      </c>
    </row>
    <row r="169" spans="1:11" s="14" customFormat="1" ht="13.8">
      <c r="A169" s="2532" t="s">
        <v>1672</v>
      </c>
      <c r="B169" s="2533"/>
      <c r="C169" s="35">
        <v>143000</v>
      </c>
      <c r="D169" s="36" t="s">
        <v>1751</v>
      </c>
      <c r="E169" s="37" t="s">
        <v>1752</v>
      </c>
      <c r="F169" s="35">
        <v>300</v>
      </c>
      <c r="G169" s="36">
        <v>100</v>
      </c>
      <c r="H169" s="37">
        <v>900</v>
      </c>
      <c r="I169" s="38">
        <v>4</v>
      </c>
      <c r="J169" s="36">
        <v>1.5</v>
      </c>
      <c r="K169" s="37">
        <v>15</v>
      </c>
    </row>
    <row r="170" spans="1:11" s="14" customFormat="1" ht="13.8">
      <c r="A170" s="2532" t="s">
        <v>1673</v>
      </c>
      <c r="B170" s="2533"/>
      <c r="C170" s="35" t="s">
        <v>1776</v>
      </c>
      <c r="D170" s="36" t="s">
        <v>1725</v>
      </c>
      <c r="E170" s="37" t="s">
        <v>1703</v>
      </c>
      <c r="F170" s="35">
        <v>300</v>
      </c>
      <c r="G170" s="36">
        <v>100</v>
      </c>
      <c r="H170" s="37">
        <v>900</v>
      </c>
      <c r="I170" s="38">
        <v>4</v>
      </c>
      <c r="J170" s="36">
        <v>1.5</v>
      </c>
      <c r="K170" s="37">
        <v>15</v>
      </c>
    </row>
    <row r="171" spans="1:11" s="14" customFormat="1" ht="13.8">
      <c r="A171" s="2534" t="s">
        <v>1674</v>
      </c>
      <c r="B171" s="2533"/>
      <c r="C171" s="35" t="s">
        <v>1777</v>
      </c>
      <c r="D171" s="36" t="s">
        <v>1732</v>
      </c>
      <c r="E171" s="37" t="s">
        <v>1753</v>
      </c>
      <c r="F171" s="35">
        <v>10</v>
      </c>
      <c r="G171" s="36">
        <v>3</v>
      </c>
      <c r="H171" s="37">
        <v>30</v>
      </c>
      <c r="I171" s="50" t="s">
        <v>1778</v>
      </c>
      <c r="J171" s="36">
        <v>0.5</v>
      </c>
      <c r="K171" s="37">
        <v>5</v>
      </c>
    </row>
    <row r="172" spans="1:11" s="14" customFormat="1" ht="13.8">
      <c r="A172" s="2513" t="s">
        <v>1675</v>
      </c>
      <c r="B172" s="51" t="s">
        <v>1676</v>
      </c>
      <c r="C172" s="35">
        <v>112000</v>
      </c>
      <c r="D172" s="36" t="s">
        <v>1754</v>
      </c>
      <c r="E172" s="37" t="s">
        <v>1755</v>
      </c>
      <c r="F172" s="35">
        <v>300</v>
      </c>
      <c r="G172" s="36">
        <v>100</v>
      </c>
      <c r="H172" s="37">
        <v>900</v>
      </c>
      <c r="I172" s="38">
        <v>4</v>
      </c>
      <c r="J172" s="36">
        <v>1.5</v>
      </c>
      <c r="K172" s="37">
        <v>15</v>
      </c>
    </row>
    <row r="173" spans="1:11" s="14" customFormat="1" ht="27.6">
      <c r="A173" s="2514"/>
      <c r="B173" s="52" t="s">
        <v>1677</v>
      </c>
      <c r="C173" s="46" t="s">
        <v>1779</v>
      </c>
      <c r="D173" s="47">
        <v>80700</v>
      </c>
      <c r="E173" s="48">
        <v>110000</v>
      </c>
      <c r="F173" s="35">
        <v>3</v>
      </c>
      <c r="G173" s="47" t="s">
        <v>1678</v>
      </c>
      <c r="H173" s="48" t="s">
        <v>1679</v>
      </c>
      <c r="I173" s="49">
        <v>2</v>
      </c>
      <c r="J173" s="47" t="s">
        <v>1678</v>
      </c>
      <c r="K173" s="48" t="s">
        <v>1680</v>
      </c>
    </row>
    <row r="174" spans="1:11" s="14" customFormat="1" ht="27.6">
      <c r="A174" s="2514"/>
      <c r="B174" s="52" t="s">
        <v>1681</v>
      </c>
      <c r="C174" s="46">
        <v>100000</v>
      </c>
      <c r="D174" s="47">
        <v>84700</v>
      </c>
      <c r="E174" s="48">
        <v>117000</v>
      </c>
      <c r="F174" s="35">
        <v>300</v>
      </c>
      <c r="G174" s="47">
        <v>100</v>
      </c>
      <c r="H174" s="48">
        <v>900</v>
      </c>
      <c r="I174" s="49" t="s">
        <v>1669</v>
      </c>
      <c r="J174" s="47" t="s">
        <v>1670</v>
      </c>
      <c r="K174" s="48" t="s">
        <v>1671</v>
      </c>
    </row>
    <row r="175" spans="1:11" s="14" customFormat="1" ht="13.8">
      <c r="A175" s="2515"/>
      <c r="B175" s="51" t="s">
        <v>570</v>
      </c>
      <c r="C175" s="35" t="s">
        <v>1780</v>
      </c>
      <c r="D175" s="36" t="s">
        <v>1754</v>
      </c>
      <c r="E175" s="37" t="s">
        <v>1755</v>
      </c>
      <c r="F175" s="35">
        <v>200</v>
      </c>
      <c r="G175" s="36">
        <v>70</v>
      </c>
      <c r="H175" s="37">
        <v>600</v>
      </c>
      <c r="I175" s="38">
        <v>1</v>
      </c>
      <c r="J175" s="36">
        <v>1.5</v>
      </c>
      <c r="K175" s="37">
        <v>15</v>
      </c>
    </row>
    <row r="176" spans="1:11" s="14" customFormat="1" ht="13.8">
      <c r="A176" s="2513" t="s">
        <v>1682</v>
      </c>
      <c r="B176" s="51" t="s">
        <v>1683</v>
      </c>
      <c r="C176" s="35" t="s">
        <v>1781</v>
      </c>
      <c r="D176" s="36" t="s">
        <v>1759</v>
      </c>
      <c r="E176" s="37" t="s">
        <v>1760</v>
      </c>
      <c r="F176" s="35">
        <v>10</v>
      </c>
      <c r="G176" s="36">
        <v>3</v>
      </c>
      <c r="H176" s="37">
        <v>30</v>
      </c>
      <c r="I176" s="38">
        <v>0.6</v>
      </c>
      <c r="J176" s="36">
        <v>0.2</v>
      </c>
      <c r="K176" s="37">
        <v>2</v>
      </c>
    </row>
    <row r="177" spans="1:12" s="14" customFormat="1" ht="13.8">
      <c r="A177" s="2514"/>
      <c r="B177" s="51" t="s">
        <v>1684</v>
      </c>
      <c r="C177" s="35" t="s">
        <v>1781</v>
      </c>
      <c r="D177" s="36" t="s">
        <v>1759</v>
      </c>
      <c r="E177" s="37" t="s">
        <v>1760</v>
      </c>
      <c r="F177" s="35">
        <v>10</v>
      </c>
      <c r="G177" s="36">
        <v>3</v>
      </c>
      <c r="H177" s="37">
        <v>30</v>
      </c>
      <c r="I177" s="38">
        <v>0.6</v>
      </c>
      <c r="J177" s="36">
        <v>0.2</v>
      </c>
      <c r="K177" s="37">
        <v>2</v>
      </c>
    </row>
    <row r="178" spans="1:12" s="14" customFormat="1" ht="13.8">
      <c r="A178" s="2515"/>
      <c r="B178" s="51" t="s">
        <v>1685</v>
      </c>
      <c r="C178" s="35" t="s">
        <v>1782</v>
      </c>
      <c r="D178" s="36" t="s">
        <v>1761</v>
      </c>
      <c r="E178" s="37" t="s">
        <v>1741</v>
      </c>
      <c r="F178" s="35">
        <v>10</v>
      </c>
      <c r="G178" s="36">
        <v>3</v>
      </c>
      <c r="H178" s="37">
        <v>30</v>
      </c>
      <c r="I178" s="38">
        <v>0.6</v>
      </c>
      <c r="J178" s="36">
        <v>0.2</v>
      </c>
      <c r="K178" s="37">
        <v>2</v>
      </c>
    </row>
    <row r="179" spans="1:12" s="14" customFormat="1" ht="13.8">
      <c r="A179" s="2513" t="s">
        <v>1686</v>
      </c>
      <c r="B179" s="51" t="s">
        <v>1687</v>
      </c>
      <c r="C179" s="35" t="s">
        <v>1783</v>
      </c>
      <c r="D179" s="36" t="s">
        <v>1762</v>
      </c>
      <c r="E179" s="37" t="s">
        <v>1763</v>
      </c>
      <c r="F179" s="35">
        <v>5</v>
      </c>
      <c r="G179" s="36">
        <v>1.5</v>
      </c>
      <c r="H179" s="37">
        <v>15</v>
      </c>
      <c r="I179" s="38">
        <v>0.1</v>
      </c>
      <c r="J179" s="36">
        <v>0.03</v>
      </c>
      <c r="K179" s="37">
        <v>0.3</v>
      </c>
    </row>
    <row r="180" spans="1:12" s="14" customFormat="1" ht="13.8">
      <c r="A180" s="2514"/>
      <c r="B180" s="51" t="s">
        <v>1688</v>
      </c>
      <c r="C180" s="35" t="s">
        <v>1783</v>
      </c>
      <c r="D180" s="36" t="s">
        <v>1762</v>
      </c>
      <c r="E180" s="37" t="s">
        <v>1763</v>
      </c>
      <c r="F180" s="35">
        <v>5</v>
      </c>
      <c r="G180" s="36">
        <v>1.5</v>
      </c>
      <c r="H180" s="37">
        <v>15</v>
      </c>
      <c r="I180" s="38">
        <v>0.1</v>
      </c>
      <c r="J180" s="36">
        <v>0.03</v>
      </c>
      <c r="K180" s="37">
        <v>0.3</v>
      </c>
    </row>
    <row r="181" spans="1:12" s="14" customFormat="1" ht="13.8">
      <c r="A181" s="2515"/>
      <c r="B181" s="51" t="s">
        <v>1689</v>
      </c>
      <c r="C181" s="35" t="s">
        <v>1784</v>
      </c>
      <c r="D181" s="36" t="s">
        <v>1762</v>
      </c>
      <c r="E181" s="37" t="s">
        <v>1763</v>
      </c>
      <c r="F181" s="35">
        <v>5</v>
      </c>
      <c r="G181" s="36">
        <v>1.5</v>
      </c>
      <c r="H181" s="37">
        <v>15</v>
      </c>
      <c r="I181" s="38">
        <v>0.1</v>
      </c>
      <c r="J181" s="36">
        <v>0.03</v>
      </c>
      <c r="K181" s="37">
        <v>0.3</v>
      </c>
    </row>
    <row r="182" spans="1:12" s="14" customFormat="1" ht="28.2" thickBot="1">
      <c r="A182" s="54" t="s">
        <v>1690</v>
      </c>
      <c r="B182" s="55" t="s">
        <v>1691</v>
      </c>
      <c r="C182" s="56" t="s">
        <v>1785</v>
      </c>
      <c r="D182" s="57" t="s">
        <v>1757</v>
      </c>
      <c r="E182" s="58" t="s">
        <v>1758</v>
      </c>
      <c r="F182" s="56">
        <v>300</v>
      </c>
      <c r="G182" s="57">
        <v>100</v>
      </c>
      <c r="H182" s="58">
        <v>900</v>
      </c>
      <c r="I182" s="59" t="s">
        <v>1669</v>
      </c>
      <c r="J182" s="57" t="s">
        <v>1670</v>
      </c>
      <c r="K182" s="58" t="s">
        <v>1671</v>
      </c>
    </row>
    <row r="183" spans="1:12" s="14" customFormat="1" ht="14.25" customHeight="1" thickBot="1">
      <c r="A183" s="1146" t="s">
        <v>1692</v>
      </c>
      <c r="B183" s="61"/>
      <c r="C183" s="61"/>
      <c r="D183" s="61"/>
      <c r="E183" s="61"/>
      <c r="F183" s="61"/>
      <c r="G183" s="61"/>
      <c r="H183" s="61"/>
      <c r="I183" s="61"/>
      <c r="J183" s="61"/>
      <c r="K183" s="62"/>
    </row>
    <row r="184" spans="1:12" s="14" customFormat="1" ht="13.8"/>
    <row r="185" spans="1:12" s="14" customFormat="1" ht="13.8"/>
    <row r="186" spans="1:12" s="14" customFormat="1" ht="14.4" thickBot="1">
      <c r="A186" s="14" t="s">
        <v>1786</v>
      </c>
      <c r="B186" s="880"/>
      <c r="C186" s="880"/>
      <c r="D186" s="880"/>
      <c r="E186" s="880"/>
      <c r="F186" s="880"/>
      <c r="G186" s="880"/>
      <c r="H186" s="880"/>
      <c r="I186" s="880"/>
      <c r="J186" s="880"/>
      <c r="K186" s="880"/>
      <c r="L186" s="880"/>
    </row>
    <row r="187" spans="1:12" s="14" customFormat="1" ht="15.6" thickBot="1">
      <c r="A187" s="2527" t="s">
        <v>597</v>
      </c>
      <c r="B187" s="2528"/>
      <c r="C187" s="2522" t="s">
        <v>1605</v>
      </c>
      <c r="D187" s="2523"/>
      <c r="E187" s="2524"/>
      <c r="F187" s="2522" t="s">
        <v>1606</v>
      </c>
      <c r="G187" s="2523"/>
      <c r="H187" s="2524"/>
      <c r="I187" s="2522" t="s">
        <v>1607</v>
      </c>
      <c r="J187" s="2523"/>
      <c r="K187" s="2524"/>
    </row>
    <row r="188" spans="1:12" s="14" customFormat="1" ht="14.4" thickBot="1">
      <c r="A188" s="2529"/>
      <c r="B188" s="2530"/>
      <c r="C188" s="63" t="s">
        <v>637</v>
      </c>
      <c r="D188" s="64" t="s">
        <v>586</v>
      </c>
      <c r="E188" s="65" t="s">
        <v>587</v>
      </c>
      <c r="F188" s="63" t="s">
        <v>585</v>
      </c>
      <c r="G188" s="64" t="s">
        <v>586</v>
      </c>
      <c r="H188" s="65" t="s">
        <v>587</v>
      </c>
      <c r="I188" s="63" t="s">
        <v>637</v>
      </c>
      <c r="J188" s="64" t="s">
        <v>586</v>
      </c>
      <c r="K188" s="65" t="s">
        <v>587</v>
      </c>
    </row>
    <row r="189" spans="1:12" s="14" customFormat="1" ht="13.8">
      <c r="A189" s="2525" t="s">
        <v>541</v>
      </c>
      <c r="B189" s="2526"/>
      <c r="C189" s="66">
        <v>73300</v>
      </c>
      <c r="D189" s="792">
        <v>71100</v>
      </c>
      <c r="E189" s="67">
        <v>75500</v>
      </c>
      <c r="F189" s="66">
        <v>10</v>
      </c>
      <c r="G189" s="792">
        <v>3</v>
      </c>
      <c r="H189" s="67">
        <v>30</v>
      </c>
      <c r="I189" s="68">
        <v>0.6</v>
      </c>
      <c r="J189" s="793">
        <v>0.2</v>
      </c>
      <c r="K189" s="67">
        <v>2</v>
      </c>
    </row>
    <row r="190" spans="1:12" s="14" customFormat="1" ht="13.8">
      <c r="A190" s="2516" t="s">
        <v>1617</v>
      </c>
      <c r="B190" s="2517"/>
      <c r="C190" s="66">
        <v>77000</v>
      </c>
      <c r="D190" s="792">
        <v>69300</v>
      </c>
      <c r="E190" s="67">
        <v>85400</v>
      </c>
      <c r="F190" s="66">
        <v>10</v>
      </c>
      <c r="G190" s="792">
        <v>3</v>
      </c>
      <c r="H190" s="67">
        <v>30</v>
      </c>
      <c r="I190" s="68">
        <v>0.6</v>
      </c>
      <c r="J190" s="793">
        <v>0.2</v>
      </c>
      <c r="K190" s="67">
        <v>2</v>
      </c>
    </row>
    <row r="191" spans="1:12" s="14" customFormat="1" ht="13.8">
      <c r="A191" s="2516" t="s">
        <v>1628</v>
      </c>
      <c r="B191" s="2517"/>
      <c r="C191" s="66">
        <v>64200</v>
      </c>
      <c r="D191" s="792">
        <v>58300</v>
      </c>
      <c r="E191" s="67">
        <v>70400</v>
      </c>
      <c r="F191" s="66">
        <v>10</v>
      </c>
      <c r="G191" s="792">
        <v>3</v>
      </c>
      <c r="H191" s="67">
        <v>30</v>
      </c>
      <c r="I191" s="68">
        <v>0.6</v>
      </c>
      <c r="J191" s="793">
        <v>0.2</v>
      </c>
      <c r="K191" s="67">
        <v>2</v>
      </c>
    </row>
    <row r="192" spans="1:12" s="14" customFormat="1" ht="13.8">
      <c r="A192" s="2513" t="s">
        <v>384</v>
      </c>
      <c r="B192" s="882" t="s">
        <v>1630</v>
      </c>
      <c r="C192" s="181">
        <v>69300</v>
      </c>
      <c r="D192" s="794">
        <v>67500</v>
      </c>
      <c r="E192" s="182">
        <v>73000</v>
      </c>
      <c r="F192" s="181">
        <v>10</v>
      </c>
      <c r="G192" s="794">
        <v>3</v>
      </c>
      <c r="H192" s="182">
        <v>30</v>
      </c>
      <c r="I192" s="183">
        <v>0.6</v>
      </c>
      <c r="J192" s="795">
        <v>0.2</v>
      </c>
      <c r="K192" s="182">
        <v>2</v>
      </c>
    </row>
    <row r="193" spans="1:11" s="14" customFormat="1" ht="13.8">
      <c r="A193" s="2514"/>
      <c r="B193" s="881" t="s">
        <v>1634</v>
      </c>
      <c r="C193" s="69" t="s">
        <v>1787</v>
      </c>
      <c r="D193" s="792">
        <v>67500</v>
      </c>
      <c r="E193" s="67">
        <v>73000</v>
      </c>
      <c r="F193" s="66">
        <v>10</v>
      </c>
      <c r="G193" s="792">
        <v>3</v>
      </c>
      <c r="H193" s="67">
        <v>30</v>
      </c>
      <c r="I193" s="68">
        <v>0.6</v>
      </c>
      <c r="J193" s="793">
        <v>0.2</v>
      </c>
      <c r="K193" s="67">
        <v>2</v>
      </c>
    </row>
    <row r="194" spans="1:11" s="14" customFormat="1" ht="13.8">
      <c r="A194" s="2515"/>
      <c r="B194" s="881" t="s">
        <v>1638</v>
      </c>
      <c r="C194" s="66">
        <v>70000</v>
      </c>
      <c r="D194" s="792">
        <v>67500</v>
      </c>
      <c r="E194" s="67">
        <v>73000</v>
      </c>
      <c r="F194" s="66">
        <v>10</v>
      </c>
      <c r="G194" s="792">
        <v>3</v>
      </c>
      <c r="H194" s="67">
        <v>30</v>
      </c>
      <c r="I194" s="68">
        <v>0.6</v>
      </c>
      <c r="J194" s="793">
        <v>0.2</v>
      </c>
      <c r="K194" s="67">
        <v>2</v>
      </c>
    </row>
    <row r="195" spans="1:11" s="14" customFormat="1" ht="13.8">
      <c r="A195" s="2518" t="s">
        <v>1639</v>
      </c>
      <c r="B195" s="2519"/>
      <c r="C195" s="69" t="s">
        <v>1788</v>
      </c>
      <c r="D195" s="792">
        <v>69700</v>
      </c>
      <c r="E195" s="67">
        <v>74400</v>
      </c>
      <c r="F195" s="66">
        <v>10</v>
      </c>
      <c r="G195" s="792">
        <v>3</v>
      </c>
      <c r="H195" s="67">
        <v>30</v>
      </c>
      <c r="I195" s="68">
        <v>0.6</v>
      </c>
      <c r="J195" s="793">
        <v>0.2</v>
      </c>
      <c r="K195" s="67">
        <v>2</v>
      </c>
    </row>
    <row r="196" spans="1:11" s="14" customFormat="1" ht="13.8">
      <c r="A196" s="2509" t="s">
        <v>711</v>
      </c>
      <c r="B196" s="2510"/>
      <c r="C196" s="66">
        <v>71900</v>
      </c>
      <c r="D196" s="792">
        <v>70800</v>
      </c>
      <c r="E196" s="67">
        <v>73700</v>
      </c>
      <c r="F196" s="66">
        <v>10</v>
      </c>
      <c r="G196" s="792">
        <v>3</v>
      </c>
      <c r="H196" s="67">
        <v>30</v>
      </c>
      <c r="I196" s="68">
        <v>0.6</v>
      </c>
      <c r="J196" s="793">
        <v>0.2</v>
      </c>
      <c r="K196" s="67">
        <v>2</v>
      </c>
    </row>
    <row r="197" spans="1:11" s="14" customFormat="1" ht="13.8">
      <c r="A197" s="2509" t="s">
        <v>1640</v>
      </c>
      <c r="B197" s="2510"/>
      <c r="C197" s="66">
        <v>73300</v>
      </c>
      <c r="D197" s="792">
        <v>67800</v>
      </c>
      <c r="E197" s="67">
        <v>79200</v>
      </c>
      <c r="F197" s="66">
        <v>10</v>
      </c>
      <c r="G197" s="792">
        <v>3</v>
      </c>
      <c r="H197" s="67">
        <v>30</v>
      </c>
      <c r="I197" s="68">
        <v>0.6</v>
      </c>
      <c r="J197" s="793">
        <v>0.2</v>
      </c>
      <c r="K197" s="67">
        <v>2</v>
      </c>
    </row>
    <row r="198" spans="1:11" s="14" customFormat="1" ht="13.8">
      <c r="A198" s="2520" t="s">
        <v>713</v>
      </c>
      <c r="B198" s="2521"/>
      <c r="C198" s="181">
        <v>74100</v>
      </c>
      <c r="D198" s="794">
        <v>72600</v>
      </c>
      <c r="E198" s="182">
        <v>74800</v>
      </c>
      <c r="F198" s="181">
        <v>10</v>
      </c>
      <c r="G198" s="794">
        <v>3</v>
      </c>
      <c r="H198" s="182">
        <v>30</v>
      </c>
      <c r="I198" s="183">
        <v>0.6</v>
      </c>
      <c r="J198" s="795">
        <v>0.2</v>
      </c>
      <c r="K198" s="182">
        <v>2</v>
      </c>
    </row>
    <row r="199" spans="1:11" s="14" customFormat="1" ht="13.8">
      <c r="A199" s="2509" t="s">
        <v>715</v>
      </c>
      <c r="B199" s="2510"/>
      <c r="C199" s="66">
        <v>77400</v>
      </c>
      <c r="D199" s="792">
        <v>75500</v>
      </c>
      <c r="E199" s="67">
        <v>78800</v>
      </c>
      <c r="F199" s="66">
        <v>10</v>
      </c>
      <c r="G199" s="792">
        <v>3</v>
      </c>
      <c r="H199" s="67">
        <v>30</v>
      </c>
      <c r="I199" s="68">
        <v>0.6</v>
      </c>
      <c r="J199" s="793">
        <v>0.2</v>
      </c>
      <c r="K199" s="67">
        <v>2</v>
      </c>
    </row>
    <row r="200" spans="1:11" s="14" customFormat="1" ht="13.8">
      <c r="A200" s="2520" t="s">
        <v>718</v>
      </c>
      <c r="B200" s="2521"/>
      <c r="C200" s="181">
        <v>63100</v>
      </c>
      <c r="D200" s="794">
        <v>61600</v>
      </c>
      <c r="E200" s="182">
        <v>65600</v>
      </c>
      <c r="F200" s="181">
        <v>5</v>
      </c>
      <c r="G200" s="795">
        <v>1.5</v>
      </c>
      <c r="H200" s="182">
        <v>15</v>
      </c>
      <c r="I200" s="183">
        <v>0.1</v>
      </c>
      <c r="J200" s="795">
        <v>0.03</v>
      </c>
      <c r="K200" s="184">
        <v>0.3</v>
      </c>
    </row>
    <row r="201" spans="1:11" s="14" customFormat="1" ht="13.8">
      <c r="A201" s="2509" t="s">
        <v>1641</v>
      </c>
      <c r="B201" s="2510"/>
      <c r="C201" s="66">
        <v>61600</v>
      </c>
      <c r="D201" s="792">
        <v>56500</v>
      </c>
      <c r="E201" s="67">
        <v>68600</v>
      </c>
      <c r="F201" s="66">
        <v>5</v>
      </c>
      <c r="G201" s="793">
        <v>1.5</v>
      </c>
      <c r="H201" s="67">
        <v>15</v>
      </c>
      <c r="I201" s="68">
        <v>0.1</v>
      </c>
      <c r="J201" s="793">
        <v>0.03</v>
      </c>
      <c r="K201" s="70">
        <v>0.3</v>
      </c>
    </row>
    <row r="202" spans="1:11" s="14" customFormat="1" ht="13.8">
      <c r="A202" s="2509" t="s">
        <v>1642</v>
      </c>
      <c r="B202" s="2510"/>
      <c r="C202" s="66">
        <v>73300</v>
      </c>
      <c r="D202" s="792">
        <v>69300</v>
      </c>
      <c r="E202" s="67">
        <v>76300</v>
      </c>
      <c r="F202" s="66">
        <v>10</v>
      </c>
      <c r="G202" s="792">
        <v>3</v>
      </c>
      <c r="H202" s="67">
        <v>30</v>
      </c>
      <c r="I202" s="68">
        <v>0.6</v>
      </c>
      <c r="J202" s="793">
        <v>0.2</v>
      </c>
      <c r="K202" s="67">
        <v>2</v>
      </c>
    </row>
    <row r="203" spans="1:11" s="14" customFormat="1" ht="13.8">
      <c r="A203" s="2509" t="s">
        <v>1643</v>
      </c>
      <c r="B203" s="2510"/>
      <c r="C203" s="66">
        <v>80700</v>
      </c>
      <c r="D203" s="792">
        <v>73000</v>
      </c>
      <c r="E203" s="67">
        <v>89900</v>
      </c>
      <c r="F203" s="66">
        <v>10</v>
      </c>
      <c r="G203" s="792">
        <v>3</v>
      </c>
      <c r="H203" s="67">
        <v>30</v>
      </c>
      <c r="I203" s="68">
        <v>0.6</v>
      </c>
      <c r="J203" s="793">
        <v>0.2</v>
      </c>
      <c r="K203" s="67">
        <v>2</v>
      </c>
    </row>
    <row r="204" spans="1:11" s="14" customFormat="1" ht="13.8">
      <c r="A204" s="2509" t="s">
        <v>1644</v>
      </c>
      <c r="B204" s="2510"/>
      <c r="C204" s="66">
        <v>73300</v>
      </c>
      <c r="D204" s="792">
        <v>71900</v>
      </c>
      <c r="E204" s="67">
        <v>75200</v>
      </c>
      <c r="F204" s="66">
        <v>10</v>
      </c>
      <c r="G204" s="792">
        <v>3</v>
      </c>
      <c r="H204" s="67">
        <v>30</v>
      </c>
      <c r="I204" s="68">
        <v>0.6</v>
      </c>
      <c r="J204" s="793">
        <v>0.2</v>
      </c>
      <c r="K204" s="67">
        <v>2</v>
      </c>
    </row>
    <row r="205" spans="1:11" s="14" customFormat="1" ht="13.8">
      <c r="A205" s="2509" t="s">
        <v>1645</v>
      </c>
      <c r="B205" s="2510"/>
      <c r="C205" s="66">
        <v>97500</v>
      </c>
      <c r="D205" s="792">
        <v>82900</v>
      </c>
      <c r="E205" s="67">
        <v>115000</v>
      </c>
      <c r="F205" s="66">
        <v>10</v>
      </c>
      <c r="G205" s="792">
        <v>3</v>
      </c>
      <c r="H205" s="67">
        <v>30</v>
      </c>
      <c r="I205" s="68">
        <v>0.6</v>
      </c>
      <c r="J205" s="793">
        <v>0.2</v>
      </c>
      <c r="K205" s="67">
        <v>2</v>
      </c>
    </row>
    <row r="206" spans="1:11" s="14" customFormat="1" ht="13.8">
      <c r="A206" s="2511" t="s">
        <v>1646</v>
      </c>
      <c r="B206" s="2512"/>
      <c r="C206" s="66">
        <v>73300</v>
      </c>
      <c r="D206" s="792">
        <v>68900</v>
      </c>
      <c r="E206" s="67">
        <v>76600</v>
      </c>
      <c r="F206" s="66">
        <v>10</v>
      </c>
      <c r="G206" s="792">
        <v>3</v>
      </c>
      <c r="H206" s="67">
        <v>30</v>
      </c>
      <c r="I206" s="68">
        <v>0.6</v>
      </c>
      <c r="J206" s="793">
        <v>0.2</v>
      </c>
      <c r="K206" s="67">
        <v>2</v>
      </c>
    </row>
    <row r="207" spans="1:11" s="14" customFormat="1" ht="13.8">
      <c r="A207" s="2513" t="s">
        <v>724</v>
      </c>
      <c r="B207" s="71" t="s">
        <v>725</v>
      </c>
      <c r="C207" s="66">
        <v>57600</v>
      </c>
      <c r="D207" s="792">
        <v>48200</v>
      </c>
      <c r="E207" s="67">
        <v>69000</v>
      </c>
      <c r="F207" s="66">
        <v>5</v>
      </c>
      <c r="G207" s="793">
        <v>1.5</v>
      </c>
      <c r="H207" s="67">
        <v>15</v>
      </c>
      <c r="I207" s="68">
        <v>0.1</v>
      </c>
      <c r="J207" s="793">
        <v>0.03</v>
      </c>
      <c r="K207" s="70">
        <v>0.3</v>
      </c>
    </row>
    <row r="208" spans="1:11" s="14" customFormat="1" ht="13.8">
      <c r="A208" s="2514"/>
      <c r="B208" s="71" t="s">
        <v>729</v>
      </c>
      <c r="C208" s="66">
        <v>73300</v>
      </c>
      <c r="D208" s="792">
        <v>72200</v>
      </c>
      <c r="E208" s="67">
        <v>74400</v>
      </c>
      <c r="F208" s="66">
        <v>10</v>
      </c>
      <c r="G208" s="792">
        <v>3</v>
      </c>
      <c r="H208" s="67">
        <v>30</v>
      </c>
      <c r="I208" s="68">
        <v>0.6</v>
      </c>
      <c r="J208" s="793">
        <v>0.2</v>
      </c>
      <c r="K208" s="67">
        <v>2</v>
      </c>
    </row>
    <row r="209" spans="1:11" s="14" customFormat="1" ht="13.8">
      <c r="A209" s="2514"/>
      <c r="B209" s="71" t="s">
        <v>1647</v>
      </c>
      <c r="C209" s="66">
        <v>73300</v>
      </c>
      <c r="D209" s="792">
        <v>72200</v>
      </c>
      <c r="E209" s="67">
        <v>74400</v>
      </c>
      <c r="F209" s="66">
        <v>10</v>
      </c>
      <c r="G209" s="792">
        <v>3</v>
      </c>
      <c r="H209" s="67">
        <v>30</v>
      </c>
      <c r="I209" s="68">
        <v>0.6</v>
      </c>
      <c r="J209" s="793">
        <v>0.2</v>
      </c>
      <c r="K209" s="67">
        <v>3</v>
      </c>
    </row>
    <row r="210" spans="1:11" s="14" customFormat="1" ht="13.8">
      <c r="A210" s="2515"/>
      <c r="B210" s="71" t="s">
        <v>1648</v>
      </c>
      <c r="C210" s="66">
        <v>73300</v>
      </c>
      <c r="D210" s="792">
        <v>72200</v>
      </c>
      <c r="E210" s="67">
        <v>74400</v>
      </c>
      <c r="F210" s="66">
        <v>10</v>
      </c>
      <c r="G210" s="792">
        <v>3</v>
      </c>
      <c r="H210" s="67">
        <v>30</v>
      </c>
      <c r="I210" s="68">
        <v>0.6</v>
      </c>
      <c r="J210" s="793">
        <v>0.2</v>
      </c>
      <c r="K210" s="67">
        <v>2</v>
      </c>
    </row>
    <row r="211" spans="1:11" s="14" customFormat="1" ht="13.8">
      <c r="A211" s="40" t="s">
        <v>1649</v>
      </c>
      <c r="B211" s="72"/>
      <c r="C211" s="66">
        <v>98300</v>
      </c>
      <c r="D211" s="792">
        <v>94600</v>
      </c>
      <c r="E211" s="67">
        <v>101000</v>
      </c>
      <c r="F211" s="66">
        <v>300</v>
      </c>
      <c r="G211" s="792">
        <v>100</v>
      </c>
      <c r="H211" s="67">
        <v>900</v>
      </c>
      <c r="I211" s="68">
        <v>1.5</v>
      </c>
      <c r="J211" s="793">
        <v>0.5</v>
      </c>
      <c r="K211" s="67">
        <v>5</v>
      </c>
    </row>
    <row r="212" spans="1:11" s="14" customFormat="1" ht="13.8">
      <c r="A212" s="42" t="s">
        <v>1650</v>
      </c>
      <c r="B212" s="73"/>
      <c r="C212" s="66">
        <v>94600</v>
      </c>
      <c r="D212" s="792">
        <v>87300</v>
      </c>
      <c r="E212" s="67">
        <v>101000</v>
      </c>
      <c r="F212" s="66">
        <v>300</v>
      </c>
      <c r="G212" s="792">
        <v>100</v>
      </c>
      <c r="H212" s="67">
        <v>900</v>
      </c>
      <c r="I212" s="68">
        <v>1.5</v>
      </c>
      <c r="J212" s="793">
        <v>0.5</v>
      </c>
      <c r="K212" s="67">
        <v>5</v>
      </c>
    </row>
    <row r="213" spans="1:11" s="14" customFormat="1" ht="13.8">
      <c r="A213" s="42" t="s">
        <v>1651</v>
      </c>
      <c r="B213" s="73"/>
      <c r="C213" s="66">
        <v>94600</v>
      </c>
      <c r="D213" s="792">
        <v>89500</v>
      </c>
      <c r="E213" s="67">
        <v>99700</v>
      </c>
      <c r="F213" s="66">
        <v>300</v>
      </c>
      <c r="G213" s="792">
        <v>100</v>
      </c>
      <c r="H213" s="67">
        <v>900</v>
      </c>
      <c r="I213" s="68">
        <v>1.5</v>
      </c>
      <c r="J213" s="793">
        <v>0.5</v>
      </c>
      <c r="K213" s="67">
        <v>5</v>
      </c>
    </row>
    <row r="214" spans="1:11" s="14" customFormat="1" ht="13.8">
      <c r="A214" s="42" t="s">
        <v>1652</v>
      </c>
      <c r="B214" s="73"/>
      <c r="C214" s="66">
        <v>96100</v>
      </c>
      <c r="D214" s="792">
        <v>92800</v>
      </c>
      <c r="E214" s="67">
        <v>100000</v>
      </c>
      <c r="F214" s="66">
        <v>300</v>
      </c>
      <c r="G214" s="792">
        <v>100</v>
      </c>
      <c r="H214" s="67">
        <v>900</v>
      </c>
      <c r="I214" s="68">
        <v>1.5</v>
      </c>
      <c r="J214" s="793">
        <v>0.5</v>
      </c>
      <c r="K214" s="67">
        <v>5</v>
      </c>
    </row>
    <row r="215" spans="1:11" s="14" customFormat="1" ht="13.8">
      <c r="A215" s="42" t="s">
        <v>1653</v>
      </c>
      <c r="B215" s="73"/>
      <c r="C215" s="66">
        <v>101000</v>
      </c>
      <c r="D215" s="792">
        <v>90900</v>
      </c>
      <c r="E215" s="67">
        <v>115000</v>
      </c>
      <c r="F215" s="66">
        <v>300</v>
      </c>
      <c r="G215" s="792">
        <v>100</v>
      </c>
      <c r="H215" s="67">
        <v>900</v>
      </c>
      <c r="I215" s="68">
        <v>1.5</v>
      </c>
      <c r="J215" s="793">
        <v>0.5</v>
      </c>
      <c r="K215" s="67">
        <v>5</v>
      </c>
    </row>
    <row r="216" spans="1:11" s="14" customFormat="1" ht="13.8">
      <c r="A216" s="42" t="s">
        <v>1654</v>
      </c>
      <c r="B216" s="73"/>
      <c r="C216" s="66">
        <v>107000</v>
      </c>
      <c r="D216" s="792">
        <v>90200</v>
      </c>
      <c r="E216" s="67">
        <v>125000</v>
      </c>
      <c r="F216" s="66">
        <v>300</v>
      </c>
      <c r="G216" s="792">
        <v>100</v>
      </c>
      <c r="H216" s="67">
        <v>900</v>
      </c>
      <c r="I216" s="68">
        <v>1.5</v>
      </c>
      <c r="J216" s="793">
        <v>0.5</v>
      </c>
      <c r="K216" s="67">
        <v>5</v>
      </c>
    </row>
    <row r="217" spans="1:11" s="14" customFormat="1" ht="13.8">
      <c r="A217" s="42" t="s">
        <v>1655</v>
      </c>
      <c r="B217" s="73"/>
      <c r="C217" s="66">
        <v>97500</v>
      </c>
      <c r="D217" s="792">
        <v>87300</v>
      </c>
      <c r="E217" s="67">
        <v>109000</v>
      </c>
      <c r="F217" s="69" t="s">
        <v>1789</v>
      </c>
      <c r="G217" s="792">
        <v>100</v>
      </c>
      <c r="H217" s="67">
        <v>900</v>
      </c>
      <c r="I217" s="68">
        <v>1.5</v>
      </c>
      <c r="J217" s="793">
        <v>0.5</v>
      </c>
      <c r="K217" s="67">
        <v>5</v>
      </c>
    </row>
    <row r="218" spans="1:11" s="14" customFormat="1" ht="13.8">
      <c r="A218" s="44" t="s">
        <v>1656</v>
      </c>
      <c r="B218" s="73"/>
      <c r="C218" s="66">
        <v>97500</v>
      </c>
      <c r="D218" s="792">
        <v>87300</v>
      </c>
      <c r="E218" s="67">
        <v>109000</v>
      </c>
      <c r="F218" s="66">
        <v>300</v>
      </c>
      <c r="G218" s="792">
        <v>100</v>
      </c>
      <c r="H218" s="67">
        <v>900</v>
      </c>
      <c r="I218" s="68">
        <v>1.5</v>
      </c>
      <c r="J218" s="793">
        <v>0.5</v>
      </c>
      <c r="K218" s="67">
        <v>5</v>
      </c>
    </row>
    <row r="219" spans="1:11" s="14" customFormat="1" ht="27.6">
      <c r="A219" s="2513" t="s">
        <v>531</v>
      </c>
      <c r="B219" s="74" t="s">
        <v>1657</v>
      </c>
      <c r="C219" s="75" t="s">
        <v>1790</v>
      </c>
      <c r="D219" s="796">
        <v>95700</v>
      </c>
      <c r="E219" s="76">
        <v>119000</v>
      </c>
      <c r="F219" s="77">
        <v>300</v>
      </c>
      <c r="G219" s="796">
        <v>100</v>
      </c>
      <c r="H219" s="76">
        <v>900</v>
      </c>
      <c r="I219" s="78">
        <v>1.5</v>
      </c>
      <c r="J219" s="797">
        <v>0.5</v>
      </c>
      <c r="K219" s="76">
        <v>5</v>
      </c>
    </row>
    <row r="220" spans="1:11" s="14" customFormat="1" ht="13.8">
      <c r="A220" s="2515"/>
      <c r="B220" s="881" t="s">
        <v>1658</v>
      </c>
      <c r="C220" s="69" t="s">
        <v>1791</v>
      </c>
      <c r="D220" s="792">
        <v>95700</v>
      </c>
      <c r="E220" s="67">
        <v>119000</v>
      </c>
      <c r="F220" s="66">
        <v>5</v>
      </c>
      <c r="G220" s="793">
        <v>1.5</v>
      </c>
      <c r="H220" s="67">
        <v>15</v>
      </c>
      <c r="I220" s="68">
        <v>0.1</v>
      </c>
      <c r="J220" s="793">
        <v>0.03</v>
      </c>
      <c r="K220" s="70">
        <v>0.3</v>
      </c>
    </row>
    <row r="221" spans="1:11" s="14" customFormat="1" ht="13.8">
      <c r="A221" s="2516" t="s">
        <v>1659</v>
      </c>
      <c r="B221" s="2517"/>
      <c r="C221" s="66">
        <v>80700</v>
      </c>
      <c r="D221" s="792">
        <v>68200</v>
      </c>
      <c r="E221" s="67">
        <v>95300</v>
      </c>
      <c r="F221" s="69" t="s">
        <v>1792</v>
      </c>
      <c r="G221" s="792">
        <v>100</v>
      </c>
      <c r="H221" s="67">
        <v>900</v>
      </c>
      <c r="I221" s="68">
        <v>1.5</v>
      </c>
      <c r="J221" s="793">
        <v>0.5</v>
      </c>
      <c r="K221" s="67">
        <v>5</v>
      </c>
    </row>
    <row r="222" spans="1:11" s="14" customFormat="1" ht="13.8">
      <c r="A222" s="2513" t="s">
        <v>1660</v>
      </c>
      <c r="B222" s="73" t="s">
        <v>1661</v>
      </c>
      <c r="C222" s="66">
        <v>44400</v>
      </c>
      <c r="D222" s="792">
        <v>37300</v>
      </c>
      <c r="E222" s="67">
        <v>54100</v>
      </c>
      <c r="F222" s="66">
        <v>5</v>
      </c>
      <c r="G222" s="793">
        <v>1.5</v>
      </c>
      <c r="H222" s="67">
        <v>15</v>
      </c>
      <c r="I222" s="68">
        <v>0.1</v>
      </c>
      <c r="J222" s="793">
        <v>0.03</v>
      </c>
      <c r="K222" s="70">
        <v>0.3</v>
      </c>
    </row>
    <row r="223" spans="1:11" s="14" customFormat="1" ht="13.8">
      <c r="A223" s="2514"/>
      <c r="B223" s="73" t="s">
        <v>1662</v>
      </c>
      <c r="C223" s="66">
        <v>44400</v>
      </c>
      <c r="D223" s="792">
        <v>37300</v>
      </c>
      <c r="E223" s="67">
        <v>54100</v>
      </c>
      <c r="F223" s="66">
        <v>5</v>
      </c>
      <c r="G223" s="793">
        <v>1.5</v>
      </c>
      <c r="H223" s="67">
        <v>15</v>
      </c>
      <c r="I223" s="68">
        <v>0.1</v>
      </c>
      <c r="J223" s="793">
        <v>0.03</v>
      </c>
      <c r="K223" s="70">
        <v>0.3</v>
      </c>
    </row>
    <row r="224" spans="1:11" s="14" customFormat="1" ht="13.8">
      <c r="A224" s="2514"/>
      <c r="B224" s="73" t="s">
        <v>1663</v>
      </c>
      <c r="C224" s="66">
        <v>260000</v>
      </c>
      <c r="D224" s="792">
        <v>219000</v>
      </c>
      <c r="E224" s="67">
        <v>308000</v>
      </c>
      <c r="F224" s="66">
        <v>5</v>
      </c>
      <c r="G224" s="793">
        <v>1.5</v>
      </c>
      <c r="H224" s="67">
        <v>15</v>
      </c>
      <c r="I224" s="68">
        <v>0.1</v>
      </c>
      <c r="J224" s="793">
        <v>0.03</v>
      </c>
      <c r="K224" s="70">
        <v>0.3</v>
      </c>
    </row>
    <row r="225" spans="1:11" s="14" customFormat="1" ht="13.8">
      <c r="A225" s="2515"/>
      <c r="B225" s="73" t="s">
        <v>1664</v>
      </c>
      <c r="C225" s="69" t="s">
        <v>1793</v>
      </c>
      <c r="D225" s="792">
        <v>145000</v>
      </c>
      <c r="E225" s="67">
        <v>202000</v>
      </c>
      <c r="F225" s="66">
        <v>5</v>
      </c>
      <c r="G225" s="793">
        <v>1.5</v>
      </c>
      <c r="H225" s="67">
        <v>15</v>
      </c>
      <c r="I225" s="68">
        <v>0.1</v>
      </c>
      <c r="J225" s="793">
        <v>0.03</v>
      </c>
      <c r="K225" s="70">
        <v>0.3</v>
      </c>
    </row>
    <row r="226" spans="1:11" s="14" customFormat="1" ht="13.8">
      <c r="A226" s="2518" t="s">
        <v>736</v>
      </c>
      <c r="B226" s="2519"/>
      <c r="C226" s="66">
        <v>56100</v>
      </c>
      <c r="D226" s="792">
        <v>54300</v>
      </c>
      <c r="E226" s="67">
        <v>58300</v>
      </c>
      <c r="F226" s="66">
        <v>5</v>
      </c>
      <c r="G226" s="793">
        <v>1.5</v>
      </c>
      <c r="H226" s="67">
        <v>15</v>
      </c>
      <c r="I226" s="68">
        <v>0.1</v>
      </c>
      <c r="J226" s="793">
        <v>0.03</v>
      </c>
      <c r="K226" s="70">
        <v>0.3</v>
      </c>
    </row>
    <row r="227" spans="1:11" s="14" customFormat="1" ht="13.8">
      <c r="A227" s="2509" t="s">
        <v>1665</v>
      </c>
      <c r="B227" s="2510"/>
      <c r="C227" s="66">
        <v>91700</v>
      </c>
      <c r="D227" s="792">
        <v>73300</v>
      </c>
      <c r="E227" s="67">
        <v>121000</v>
      </c>
      <c r="F227" s="66">
        <v>300</v>
      </c>
      <c r="G227" s="792">
        <v>100</v>
      </c>
      <c r="H227" s="67">
        <v>900</v>
      </c>
      <c r="I227" s="66">
        <v>4</v>
      </c>
      <c r="J227" s="793">
        <v>1.5</v>
      </c>
      <c r="K227" s="67">
        <v>15</v>
      </c>
    </row>
    <row r="228" spans="1:11" s="14" customFormat="1" ht="13.8">
      <c r="A228" s="2509" t="s">
        <v>1672</v>
      </c>
      <c r="B228" s="2510"/>
      <c r="C228" s="66">
        <v>143000</v>
      </c>
      <c r="D228" s="792">
        <v>110000</v>
      </c>
      <c r="E228" s="67">
        <v>183000</v>
      </c>
      <c r="F228" s="66">
        <v>300</v>
      </c>
      <c r="G228" s="792">
        <v>100</v>
      </c>
      <c r="H228" s="67">
        <v>900</v>
      </c>
      <c r="I228" s="66">
        <v>4</v>
      </c>
      <c r="J228" s="793">
        <v>1.5</v>
      </c>
      <c r="K228" s="67">
        <v>15</v>
      </c>
    </row>
    <row r="229" spans="1:11" s="14" customFormat="1" ht="13.8">
      <c r="A229" s="2509" t="s">
        <v>1673</v>
      </c>
      <c r="B229" s="2510"/>
      <c r="C229" s="66">
        <v>73300</v>
      </c>
      <c r="D229" s="792">
        <v>72200</v>
      </c>
      <c r="E229" s="67">
        <v>74400</v>
      </c>
      <c r="F229" s="66">
        <v>300</v>
      </c>
      <c r="G229" s="792">
        <v>100</v>
      </c>
      <c r="H229" s="67">
        <v>900</v>
      </c>
      <c r="I229" s="66">
        <v>4</v>
      </c>
      <c r="J229" s="793">
        <v>1.5</v>
      </c>
      <c r="K229" s="67">
        <v>15</v>
      </c>
    </row>
    <row r="230" spans="1:11" s="14" customFormat="1" ht="13.8">
      <c r="A230" s="2511" t="s">
        <v>1674</v>
      </c>
      <c r="B230" s="2512"/>
      <c r="C230" s="66">
        <v>106000</v>
      </c>
      <c r="D230" s="792">
        <v>100000</v>
      </c>
      <c r="E230" s="67">
        <v>108000</v>
      </c>
      <c r="F230" s="69" t="s">
        <v>1792</v>
      </c>
      <c r="G230" s="792">
        <v>100</v>
      </c>
      <c r="H230" s="67">
        <v>900</v>
      </c>
      <c r="I230" s="68">
        <v>1.4</v>
      </c>
      <c r="J230" s="793">
        <v>0.5</v>
      </c>
      <c r="K230" s="67">
        <v>5</v>
      </c>
    </row>
    <row r="231" spans="1:11" s="14" customFormat="1" ht="13.8">
      <c r="A231" s="2513" t="s">
        <v>1675</v>
      </c>
      <c r="B231" s="79" t="s">
        <v>1676</v>
      </c>
      <c r="C231" s="66">
        <v>112000</v>
      </c>
      <c r="D231" s="792">
        <v>95000</v>
      </c>
      <c r="E231" s="67">
        <v>132000</v>
      </c>
      <c r="F231" s="66">
        <v>300</v>
      </c>
      <c r="G231" s="792">
        <v>100</v>
      </c>
      <c r="H231" s="67">
        <v>900</v>
      </c>
      <c r="I231" s="66">
        <v>4</v>
      </c>
      <c r="J231" s="793">
        <v>1.5</v>
      </c>
      <c r="K231" s="67">
        <v>15</v>
      </c>
    </row>
    <row r="232" spans="1:11" s="14" customFormat="1" ht="27.6">
      <c r="A232" s="2514"/>
      <c r="B232" s="185" t="s">
        <v>1677</v>
      </c>
      <c r="C232" s="77">
        <v>95300</v>
      </c>
      <c r="D232" s="796">
        <v>80700</v>
      </c>
      <c r="E232" s="76">
        <v>110000</v>
      </c>
      <c r="F232" s="77">
        <v>3</v>
      </c>
      <c r="G232" s="796">
        <v>1</v>
      </c>
      <c r="H232" s="76">
        <v>18</v>
      </c>
      <c r="I232" s="77">
        <v>2</v>
      </c>
      <c r="J232" s="796">
        <v>1</v>
      </c>
      <c r="K232" s="76">
        <v>21</v>
      </c>
    </row>
    <row r="233" spans="1:11" s="14" customFormat="1" ht="27.6">
      <c r="A233" s="2514"/>
      <c r="B233" s="186" t="s">
        <v>1681</v>
      </c>
      <c r="C233" s="77">
        <v>100000</v>
      </c>
      <c r="D233" s="796">
        <v>84700</v>
      </c>
      <c r="E233" s="76">
        <v>117000</v>
      </c>
      <c r="F233" s="77">
        <v>300</v>
      </c>
      <c r="G233" s="796">
        <v>100</v>
      </c>
      <c r="H233" s="76">
        <v>900</v>
      </c>
      <c r="I233" s="77">
        <v>4</v>
      </c>
      <c r="J233" s="797">
        <v>1.5</v>
      </c>
      <c r="K233" s="76">
        <v>15</v>
      </c>
    </row>
    <row r="234" spans="1:11" s="14" customFormat="1" ht="13.8">
      <c r="A234" s="2515"/>
      <c r="B234" s="79" t="s">
        <v>570</v>
      </c>
      <c r="C234" s="66">
        <v>112000</v>
      </c>
      <c r="D234" s="792">
        <v>95000</v>
      </c>
      <c r="E234" s="67">
        <v>132000</v>
      </c>
      <c r="F234" s="66">
        <v>200</v>
      </c>
      <c r="G234" s="792">
        <v>70</v>
      </c>
      <c r="H234" s="67">
        <v>600</v>
      </c>
      <c r="I234" s="66">
        <v>1</v>
      </c>
      <c r="J234" s="793">
        <v>0.3</v>
      </c>
      <c r="K234" s="67">
        <v>3</v>
      </c>
    </row>
    <row r="235" spans="1:11" s="14" customFormat="1" ht="13.8">
      <c r="A235" s="2513" t="s">
        <v>1682</v>
      </c>
      <c r="B235" s="79" t="s">
        <v>1683</v>
      </c>
      <c r="C235" s="66">
        <v>70800</v>
      </c>
      <c r="D235" s="792">
        <v>59800</v>
      </c>
      <c r="E235" s="67">
        <v>84300</v>
      </c>
      <c r="F235" s="66">
        <v>10</v>
      </c>
      <c r="G235" s="792">
        <v>3</v>
      </c>
      <c r="H235" s="67">
        <v>30</v>
      </c>
      <c r="I235" s="68">
        <v>0.6</v>
      </c>
      <c r="J235" s="793">
        <v>0.2</v>
      </c>
      <c r="K235" s="67">
        <v>2</v>
      </c>
    </row>
    <row r="236" spans="1:11" s="14" customFormat="1" ht="13.8">
      <c r="A236" s="2514"/>
      <c r="B236" s="79" t="s">
        <v>1684</v>
      </c>
      <c r="C236" s="66">
        <v>70800</v>
      </c>
      <c r="D236" s="792">
        <v>59800</v>
      </c>
      <c r="E236" s="67">
        <v>84300</v>
      </c>
      <c r="F236" s="66">
        <v>10</v>
      </c>
      <c r="G236" s="792">
        <v>3</v>
      </c>
      <c r="H236" s="67">
        <v>30</v>
      </c>
      <c r="I236" s="68">
        <v>0.6</v>
      </c>
      <c r="J236" s="793">
        <v>0.2</v>
      </c>
      <c r="K236" s="67">
        <v>2</v>
      </c>
    </row>
    <row r="237" spans="1:11" s="14" customFormat="1" ht="13.8">
      <c r="A237" s="2515"/>
      <c r="B237" s="79" t="s">
        <v>1685</v>
      </c>
      <c r="C237" s="66">
        <v>79600</v>
      </c>
      <c r="D237" s="792">
        <v>67100</v>
      </c>
      <c r="E237" s="67">
        <v>95300</v>
      </c>
      <c r="F237" s="66">
        <v>10</v>
      </c>
      <c r="G237" s="792">
        <v>3</v>
      </c>
      <c r="H237" s="67">
        <v>30</v>
      </c>
      <c r="I237" s="68">
        <v>0.6</v>
      </c>
      <c r="J237" s="793">
        <v>0.2</v>
      </c>
      <c r="K237" s="67">
        <v>2</v>
      </c>
    </row>
    <row r="238" spans="1:11" s="14" customFormat="1" ht="13.8">
      <c r="A238" s="2513" t="s">
        <v>1686</v>
      </c>
      <c r="B238" s="79" t="s">
        <v>1687</v>
      </c>
      <c r="C238" s="66">
        <v>54600</v>
      </c>
      <c r="D238" s="792">
        <v>46200</v>
      </c>
      <c r="E238" s="67">
        <v>66000</v>
      </c>
      <c r="F238" s="66">
        <v>5</v>
      </c>
      <c r="G238" s="793">
        <v>1.5</v>
      </c>
      <c r="H238" s="67">
        <v>15</v>
      </c>
      <c r="I238" s="68">
        <v>0.1</v>
      </c>
      <c r="J238" s="793">
        <v>0.03</v>
      </c>
      <c r="K238" s="70">
        <v>0.3</v>
      </c>
    </row>
    <row r="239" spans="1:11" s="14" customFormat="1" ht="13.8">
      <c r="A239" s="2514"/>
      <c r="B239" s="79" t="s">
        <v>1688</v>
      </c>
      <c r="C239" s="66">
        <v>54600</v>
      </c>
      <c r="D239" s="792">
        <v>46200</v>
      </c>
      <c r="E239" s="67">
        <v>66000</v>
      </c>
      <c r="F239" s="66">
        <v>5</v>
      </c>
      <c r="G239" s="793">
        <v>1.5</v>
      </c>
      <c r="H239" s="67">
        <v>15</v>
      </c>
      <c r="I239" s="68">
        <v>0.1</v>
      </c>
      <c r="J239" s="793">
        <v>0.03</v>
      </c>
      <c r="K239" s="70">
        <v>0.3</v>
      </c>
    </row>
    <row r="240" spans="1:11" s="14" customFormat="1" ht="13.8">
      <c r="A240" s="2515"/>
      <c r="B240" s="79" t="s">
        <v>1689</v>
      </c>
      <c r="C240" s="66">
        <v>54600</v>
      </c>
      <c r="D240" s="792">
        <v>46200</v>
      </c>
      <c r="E240" s="67">
        <v>66000</v>
      </c>
      <c r="F240" s="66">
        <v>5</v>
      </c>
      <c r="G240" s="793">
        <v>1.5</v>
      </c>
      <c r="H240" s="67">
        <v>15</v>
      </c>
      <c r="I240" s="68">
        <v>0.1</v>
      </c>
      <c r="J240" s="793">
        <v>0.03</v>
      </c>
      <c r="K240" s="70">
        <v>0.3</v>
      </c>
    </row>
    <row r="241" spans="1:36" s="14" customFormat="1" ht="28.2" thickBot="1">
      <c r="A241" s="54" t="s">
        <v>1690</v>
      </c>
      <c r="B241" s="80" t="s">
        <v>1691</v>
      </c>
      <c r="C241" s="81">
        <v>100000</v>
      </c>
      <c r="D241" s="924">
        <v>84700</v>
      </c>
      <c r="E241" s="925">
        <v>117000</v>
      </c>
      <c r="F241" s="81">
        <v>300</v>
      </c>
      <c r="G241" s="924">
        <v>100</v>
      </c>
      <c r="H241" s="925">
        <v>900</v>
      </c>
      <c r="I241" s="81">
        <v>4</v>
      </c>
      <c r="J241" s="926">
        <v>1.5</v>
      </c>
      <c r="K241" s="925">
        <v>15</v>
      </c>
    </row>
    <row r="242" spans="1:36" s="14" customFormat="1" ht="12.75" customHeight="1">
      <c r="A242" s="2500" t="s">
        <v>1692</v>
      </c>
      <c r="B242" s="2501"/>
      <c r="C242" s="2501"/>
      <c r="D242" s="2501"/>
      <c r="E242" s="2501"/>
      <c r="F242" s="2501"/>
      <c r="G242" s="2501"/>
      <c r="H242" s="2501"/>
      <c r="I242" s="2501"/>
      <c r="J242" s="2501"/>
      <c r="K242" s="2502"/>
    </row>
    <row r="243" spans="1:36" s="14" customFormat="1" ht="14.25" customHeight="1">
      <c r="A243" s="2503"/>
      <c r="B243" s="2504"/>
      <c r="C243" s="2504"/>
      <c r="D243" s="2504"/>
      <c r="E243" s="2504"/>
      <c r="F243" s="2504"/>
      <c r="G243" s="2504"/>
      <c r="H243" s="2504"/>
      <c r="I243" s="2504"/>
      <c r="J243" s="2504"/>
      <c r="K243" s="2505"/>
    </row>
    <row r="244" spans="1:36" s="14" customFormat="1" ht="15" customHeight="1" thickBot="1">
      <c r="A244" s="2506"/>
      <c r="B244" s="2507"/>
      <c r="C244" s="2507"/>
      <c r="D244" s="2507"/>
      <c r="E244" s="2507"/>
      <c r="F244" s="2507"/>
      <c r="G244" s="2507"/>
      <c r="H244" s="2507"/>
      <c r="I244" s="2507"/>
      <c r="J244" s="2507"/>
      <c r="K244" s="2508"/>
    </row>
    <row r="245" spans="1:36" s="3" customFormat="1" ht="13.2"/>
    <row r="246" spans="1:36">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row>
    <row r="247" spans="1:36" ht="25.5" customHeight="1">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row>
    <row r="248" spans="1:36" ht="21.75" customHeight="1">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row>
    <row r="249" spans="1:36">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row>
    <row r="250" spans="1:36">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row>
    <row r="251" spans="1:36">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row>
    <row r="252" spans="1:36">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row>
    <row r="253" spans="1:36">
      <c r="A253" s="90"/>
      <c r="B253" s="90"/>
      <c r="C253" s="91"/>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row>
    <row r="254" spans="1:36">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row>
    <row r="255" spans="1:36">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row>
    <row r="256" spans="1:36">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row>
    <row r="257" spans="1:36">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row>
    <row r="258" spans="1:36">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row>
    <row r="268" spans="1:36" ht="15.75" customHeight="1"/>
  </sheetData>
  <mergeCells count="142">
    <mergeCell ref="I6:K6"/>
    <mergeCell ref="A8:B8"/>
    <mergeCell ref="A9:B9"/>
    <mergeCell ref="A10:B10"/>
    <mergeCell ref="A6:B7"/>
    <mergeCell ref="C6:E6"/>
    <mergeCell ref="A11:A13"/>
    <mergeCell ref="A14:B14"/>
    <mergeCell ref="A40:B40"/>
    <mergeCell ref="A15:B15"/>
    <mergeCell ref="A16:B16"/>
    <mergeCell ref="A17:B17"/>
    <mergeCell ref="A18:B18"/>
    <mergeCell ref="A19:B19"/>
    <mergeCell ref="A20:B20"/>
    <mergeCell ref="A21:B21"/>
    <mergeCell ref="A22:B22"/>
    <mergeCell ref="F6:H6"/>
    <mergeCell ref="A41:A44"/>
    <mergeCell ref="A45:B45"/>
    <mergeCell ref="A46:B46"/>
    <mergeCell ref="A47:B47"/>
    <mergeCell ref="A23:B23"/>
    <mergeCell ref="A24:B24"/>
    <mergeCell ref="A25:B25"/>
    <mergeCell ref="A26:A29"/>
    <mergeCell ref="A38:A39"/>
    <mergeCell ref="A61:K63"/>
    <mergeCell ref="A67:B68"/>
    <mergeCell ref="C67:E67"/>
    <mergeCell ref="F67:H67"/>
    <mergeCell ref="I67:K67"/>
    <mergeCell ref="A48:B48"/>
    <mergeCell ref="A49:B49"/>
    <mergeCell ref="A50:A53"/>
    <mergeCell ref="A54:A56"/>
    <mergeCell ref="A57:A59"/>
    <mergeCell ref="A76:B76"/>
    <mergeCell ref="A77:B77"/>
    <mergeCell ref="A78:B78"/>
    <mergeCell ref="A79:B79"/>
    <mergeCell ref="A80:B80"/>
    <mergeCell ref="A69:B69"/>
    <mergeCell ref="A70:B70"/>
    <mergeCell ref="A71:B71"/>
    <mergeCell ref="A72:A74"/>
    <mergeCell ref="A75:B75"/>
    <mergeCell ref="A86:B86"/>
    <mergeCell ref="A87:A90"/>
    <mergeCell ref="A99:A100"/>
    <mergeCell ref="A101:B101"/>
    <mergeCell ref="A102:A105"/>
    <mergeCell ref="A81:B81"/>
    <mergeCell ref="A82:B82"/>
    <mergeCell ref="A83:B83"/>
    <mergeCell ref="A84:B84"/>
    <mergeCell ref="A85:B85"/>
    <mergeCell ref="A111:A114"/>
    <mergeCell ref="A115:A117"/>
    <mergeCell ref="A118:A120"/>
    <mergeCell ref="A122:K124"/>
    <mergeCell ref="A128:B129"/>
    <mergeCell ref="C128:E128"/>
    <mergeCell ref="F128:H128"/>
    <mergeCell ref="I128:K128"/>
    <mergeCell ref="A106:B106"/>
    <mergeCell ref="A107:B107"/>
    <mergeCell ref="A108:B108"/>
    <mergeCell ref="A109:B109"/>
    <mergeCell ref="A110:B110"/>
    <mergeCell ref="A137:B137"/>
    <mergeCell ref="A138:B138"/>
    <mergeCell ref="A139:B139"/>
    <mergeCell ref="A140:B140"/>
    <mergeCell ref="A141:B141"/>
    <mergeCell ref="A130:B130"/>
    <mergeCell ref="A131:B131"/>
    <mergeCell ref="A132:B132"/>
    <mergeCell ref="A133:A135"/>
    <mergeCell ref="A136:B136"/>
    <mergeCell ref="A147:B147"/>
    <mergeCell ref="A148:A151"/>
    <mergeCell ref="A160:A161"/>
    <mergeCell ref="A162:B162"/>
    <mergeCell ref="A163:A166"/>
    <mergeCell ref="A142:B142"/>
    <mergeCell ref="A143:B143"/>
    <mergeCell ref="A144:B144"/>
    <mergeCell ref="A145:B145"/>
    <mergeCell ref="A146:B146"/>
    <mergeCell ref="A172:A175"/>
    <mergeCell ref="A176:A178"/>
    <mergeCell ref="A179:A181"/>
    <mergeCell ref="A187:B188"/>
    <mergeCell ref="C187:E187"/>
    <mergeCell ref="A167:B167"/>
    <mergeCell ref="A168:B168"/>
    <mergeCell ref="A169:B169"/>
    <mergeCell ref="A170:B170"/>
    <mergeCell ref="A171:B171"/>
    <mergeCell ref="A195:B195"/>
    <mergeCell ref="A196:B196"/>
    <mergeCell ref="A197:B197"/>
    <mergeCell ref="A198:B198"/>
    <mergeCell ref="F187:H187"/>
    <mergeCell ref="I187:K187"/>
    <mergeCell ref="A189:B189"/>
    <mergeCell ref="A190:B190"/>
    <mergeCell ref="A191:B191"/>
    <mergeCell ref="W7:X7"/>
    <mergeCell ref="Y7:Y8"/>
    <mergeCell ref="A242:K244"/>
    <mergeCell ref="A229:B229"/>
    <mergeCell ref="A230:B230"/>
    <mergeCell ref="A231:A234"/>
    <mergeCell ref="A235:A237"/>
    <mergeCell ref="A238:A240"/>
    <mergeCell ref="A221:B221"/>
    <mergeCell ref="A222:A225"/>
    <mergeCell ref="A226:B226"/>
    <mergeCell ref="A227:B227"/>
    <mergeCell ref="A228:B228"/>
    <mergeCell ref="A204:B204"/>
    <mergeCell ref="A205:B205"/>
    <mergeCell ref="A206:B206"/>
    <mergeCell ref="A207:A210"/>
    <mergeCell ref="A219:A220"/>
    <mergeCell ref="A199:B199"/>
    <mergeCell ref="A200:B200"/>
    <mergeCell ref="A201:B201"/>
    <mergeCell ref="A202:B202"/>
    <mergeCell ref="A203:B203"/>
    <mergeCell ref="A192:A194"/>
    <mergeCell ref="N9:N12"/>
    <mergeCell ref="M9:M12"/>
    <mergeCell ref="M7:M8"/>
    <mergeCell ref="N7:N8"/>
    <mergeCell ref="O7:O8"/>
    <mergeCell ref="P7:P8"/>
    <mergeCell ref="Q7:R7"/>
    <mergeCell ref="S7:T7"/>
    <mergeCell ref="U7:V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499984740745262"/>
  </sheetPr>
  <dimension ref="A1:AL103"/>
  <sheetViews>
    <sheetView topLeftCell="C1" zoomScale="40" zoomScaleNormal="40" workbookViewId="0">
      <selection activeCell="I9" sqref="I9"/>
    </sheetView>
  </sheetViews>
  <sheetFormatPr defaultColWidth="9.33203125" defaultRowHeight="13.2"/>
  <cols>
    <col min="1" max="1" width="27.6640625" style="217" customWidth="1"/>
    <col min="2" max="2" width="20.44140625" style="217" customWidth="1"/>
    <col min="3" max="8" width="9.33203125" style="217"/>
    <col min="9" max="9" width="15.44140625" style="217" customWidth="1"/>
    <col min="10" max="10" width="22.33203125" style="217" customWidth="1"/>
    <col min="11" max="11" width="16.6640625" style="217" customWidth="1"/>
    <col min="12" max="16" width="10.44140625" style="217" customWidth="1"/>
    <col min="17" max="17" width="19" style="217" customWidth="1"/>
    <col min="18" max="18" width="10" style="217" customWidth="1"/>
    <col min="19" max="19" width="45.6640625" style="217" customWidth="1"/>
    <col min="20" max="20" width="27" style="217" customWidth="1"/>
    <col min="21" max="28" width="9.33203125" style="217"/>
    <col min="29" max="29" width="86.44140625" style="217" bestFit="1" customWidth="1"/>
    <col min="30" max="16384" width="9.33203125" style="217"/>
  </cols>
  <sheetData>
    <row r="1" spans="1:38">
      <c r="A1" s="116" t="s">
        <v>575</v>
      </c>
      <c r="B1" s="116"/>
      <c r="C1" s="116"/>
      <c r="D1" s="116"/>
      <c r="E1" s="116"/>
      <c r="F1" s="116"/>
      <c r="G1" s="214"/>
      <c r="H1" s="214"/>
      <c r="I1" s="215"/>
      <c r="J1" s="216" t="s">
        <v>576</v>
      </c>
      <c r="K1" s="215"/>
      <c r="L1" s="215"/>
      <c r="M1" s="215"/>
      <c r="N1" s="215"/>
      <c r="O1" s="215"/>
      <c r="P1" s="215"/>
      <c r="Q1" s="215"/>
    </row>
    <row r="2" spans="1:38">
      <c r="A2" s="218" t="s">
        <v>577</v>
      </c>
      <c r="B2" s="218"/>
      <c r="C2" s="218"/>
      <c r="D2" s="218"/>
      <c r="E2" s="218"/>
      <c r="F2" s="218"/>
      <c r="G2" s="121"/>
      <c r="H2" s="121"/>
      <c r="I2" s="219"/>
      <c r="J2" s="219"/>
      <c r="K2" s="219"/>
      <c r="L2" s="219"/>
      <c r="M2" s="219"/>
      <c r="N2" s="219"/>
      <c r="O2" s="219"/>
      <c r="P2" s="219"/>
      <c r="Q2" s="219"/>
    </row>
    <row r="3" spans="1:38">
      <c r="A3" s="117"/>
      <c r="B3" s="117"/>
      <c r="C3" s="117"/>
      <c r="D3" s="117"/>
      <c r="E3" s="117"/>
      <c r="F3" s="117"/>
      <c r="G3" s="117"/>
      <c r="H3" s="117"/>
    </row>
    <row r="4" spans="1:38">
      <c r="A4" s="220" t="s">
        <v>578</v>
      </c>
      <c r="B4" s="117"/>
      <c r="C4" s="117"/>
      <c r="D4" s="117"/>
      <c r="E4" s="117"/>
      <c r="F4" s="117"/>
      <c r="G4" s="117"/>
      <c r="H4" s="117"/>
      <c r="J4" s="221" t="s">
        <v>579</v>
      </c>
    </row>
    <row r="5" spans="1:38" ht="15.6" thickBot="1">
      <c r="A5" s="117" t="s">
        <v>580</v>
      </c>
      <c r="B5" s="117"/>
      <c r="C5" s="117"/>
      <c r="D5" s="117"/>
      <c r="E5" s="117"/>
      <c r="F5" s="117"/>
      <c r="G5" s="117"/>
      <c r="H5" s="117"/>
      <c r="J5" s="222" t="s">
        <v>581</v>
      </c>
    </row>
    <row r="6" spans="1:38">
      <c r="A6" s="2545" t="s">
        <v>582</v>
      </c>
      <c r="B6" s="2546"/>
      <c r="C6" s="2553" t="s">
        <v>583</v>
      </c>
      <c r="D6" s="2554"/>
      <c r="E6" s="2555"/>
      <c r="F6" s="117"/>
      <c r="G6" s="117"/>
      <c r="H6" s="117"/>
      <c r="J6" s="222" t="s">
        <v>584</v>
      </c>
    </row>
    <row r="7" spans="1:38" ht="13.8" thickBot="1">
      <c r="A7" s="2547"/>
      <c r="B7" s="2548"/>
      <c r="C7" s="223" t="s">
        <v>585</v>
      </c>
      <c r="D7" s="224" t="s">
        <v>586</v>
      </c>
      <c r="E7" s="225" t="s">
        <v>587</v>
      </c>
      <c r="F7" s="117"/>
      <c r="G7" s="117"/>
      <c r="H7" s="117"/>
      <c r="J7" s="222" t="s">
        <v>588</v>
      </c>
    </row>
    <row r="8" spans="1:38">
      <c r="A8" s="2562" t="s">
        <v>589</v>
      </c>
      <c r="B8" s="2562"/>
      <c r="C8" s="226">
        <v>69300</v>
      </c>
      <c r="D8" s="227">
        <v>67500</v>
      </c>
      <c r="E8" s="228">
        <v>73000</v>
      </c>
      <c r="F8" s="117"/>
      <c r="G8" s="117"/>
      <c r="H8" s="117"/>
    </row>
    <row r="9" spans="1:38">
      <c r="A9" s="2562" t="s">
        <v>590</v>
      </c>
      <c r="B9" s="2562"/>
      <c r="C9" s="229">
        <v>74100</v>
      </c>
      <c r="D9" s="230">
        <v>72600</v>
      </c>
      <c r="E9" s="231">
        <v>74800</v>
      </c>
      <c r="F9" s="117"/>
      <c r="G9" s="117"/>
      <c r="H9" s="117"/>
      <c r="J9" s="232" t="s">
        <v>581</v>
      </c>
      <c r="S9" s="232" t="s">
        <v>584</v>
      </c>
    </row>
    <row r="10" spans="1:38">
      <c r="A10" s="2562" t="s">
        <v>591</v>
      </c>
      <c r="B10" s="2562"/>
      <c r="C10" s="229">
        <v>63100</v>
      </c>
      <c r="D10" s="230">
        <v>61600</v>
      </c>
      <c r="E10" s="231">
        <v>65600</v>
      </c>
      <c r="F10" s="117"/>
      <c r="G10" s="117"/>
      <c r="H10" s="117"/>
      <c r="J10" s="2578" t="s">
        <v>592</v>
      </c>
      <c r="K10" s="2579"/>
      <c r="L10" s="2589" t="s">
        <v>593</v>
      </c>
      <c r="M10" s="2590"/>
      <c r="N10" s="2590"/>
      <c r="O10" s="2590"/>
      <c r="P10" s="2591"/>
      <c r="Q10" s="2592" t="s">
        <v>594</v>
      </c>
      <c r="S10" s="2602" t="s">
        <v>595</v>
      </c>
      <c r="T10" s="2603" t="s">
        <v>596</v>
      </c>
      <c r="U10" s="2604"/>
      <c r="V10" s="2604"/>
      <c r="W10" s="2604"/>
      <c r="X10" s="2604"/>
      <c r="Y10" s="2604"/>
      <c r="Z10" s="2605"/>
      <c r="AA10" s="2606" t="s">
        <v>597</v>
      </c>
      <c r="AB10" s="232"/>
      <c r="AC10" s="232"/>
      <c r="AD10" s="232"/>
      <c r="AE10" s="232"/>
      <c r="AF10" s="232"/>
      <c r="AG10" s="232"/>
      <c r="AH10" s="232"/>
      <c r="AI10" s="232"/>
      <c r="AJ10" s="232"/>
      <c r="AK10" s="232"/>
      <c r="AL10" s="232"/>
    </row>
    <row r="11" spans="1:38" ht="14.4">
      <c r="A11" s="2563" t="s">
        <v>558</v>
      </c>
      <c r="B11" s="2563"/>
      <c r="C11" s="233">
        <v>71900</v>
      </c>
      <c r="D11" s="230">
        <v>70800</v>
      </c>
      <c r="E11" s="231">
        <v>73700</v>
      </c>
      <c r="F11" s="117"/>
      <c r="G11" s="117"/>
      <c r="H11" s="117"/>
      <c r="J11" s="2580"/>
      <c r="K11" s="2581"/>
      <c r="L11" s="798" t="s">
        <v>443</v>
      </c>
      <c r="M11" s="798" t="s">
        <v>598</v>
      </c>
      <c r="N11" s="798" t="s">
        <v>599</v>
      </c>
      <c r="O11" s="798" t="s">
        <v>600</v>
      </c>
      <c r="P11" s="798" t="s">
        <v>601</v>
      </c>
      <c r="Q11" s="2593"/>
      <c r="S11" s="2602"/>
      <c r="T11" s="798" t="s">
        <v>443</v>
      </c>
      <c r="U11" s="884" t="s">
        <v>602</v>
      </c>
      <c r="V11" s="884" t="s">
        <v>603</v>
      </c>
      <c r="W11" s="884" t="s">
        <v>599</v>
      </c>
      <c r="X11" s="884" t="s">
        <v>600</v>
      </c>
      <c r="Y11" s="884" t="s">
        <v>604</v>
      </c>
      <c r="Z11" s="884" t="s">
        <v>605</v>
      </c>
      <c r="AA11" s="2607"/>
      <c r="AC11" s="217" t="s">
        <v>606</v>
      </c>
    </row>
    <row r="12" spans="1:38" ht="14.4">
      <c r="A12" s="2582" t="s">
        <v>607</v>
      </c>
      <c r="B12" s="2583"/>
      <c r="C12" s="233">
        <v>73300</v>
      </c>
      <c r="D12" s="230">
        <v>71900</v>
      </c>
      <c r="E12" s="231">
        <v>75200</v>
      </c>
      <c r="F12" s="117"/>
      <c r="G12" s="117"/>
      <c r="H12" s="117"/>
      <c r="J12" s="2594" t="s">
        <v>608</v>
      </c>
      <c r="K12" s="234" t="s">
        <v>609</v>
      </c>
      <c r="L12" s="799">
        <v>5450</v>
      </c>
      <c r="M12" s="799">
        <v>1.25</v>
      </c>
      <c r="N12" s="799">
        <v>25.86</v>
      </c>
      <c r="O12" s="799">
        <v>14.8</v>
      </c>
      <c r="P12" s="799">
        <v>1.72</v>
      </c>
      <c r="Q12" s="799">
        <v>1720</v>
      </c>
      <c r="S12" s="799" t="s">
        <v>609</v>
      </c>
      <c r="T12" s="799">
        <v>5470</v>
      </c>
      <c r="U12" s="799">
        <v>1</v>
      </c>
      <c r="V12" s="799">
        <v>0.2</v>
      </c>
      <c r="W12" s="799">
        <v>27.21</v>
      </c>
      <c r="X12" s="799">
        <v>34.4</v>
      </c>
      <c r="Y12" s="799">
        <v>9.3000000000000007</v>
      </c>
      <c r="Z12" s="799">
        <v>1.7</v>
      </c>
      <c r="AA12" s="799">
        <v>1730</v>
      </c>
      <c r="AC12" s="884" t="s">
        <v>610</v>
      </c>
      <c r="AD12" s="884" t="s">
        <v>597</v>
      </c>
      <c r="AE12" s="884" t="s">
        <v>605</v>
      </c>
      <c r="AF12" s="884" t="s">
        <v>600</v>
      </c>
      <c r="AG12" s="798" t="s">
        <v>443</v>
      </c>
      <c r="AH12" s="884" t="s">
        <v>599</v>
      </c>
      <c r="AI12" s="884" t="s">
        <v>604</v>
      </c>
      <c r="AJ12" s="884" t="s">
        <v>602</v>
      </c>
      <c r="AK12" s="884" t="s">
        <v>603</v>
      </c>
    </row>
    <row r="13" spans="1:38">
      <c r="A13" s="2563" t="s">
        <v>611</v>
      </c>
      <c r="B13" s="2563"/>
      <c r="C13" s="233">
        <v>56100</v>
      </c>
      <c r="D13" s="230">
        <v>54300</v>
      </c>
      <c r="E13" s="231">
        <v>58300</v>
      </c>
      <c r="F13" s="117"/>
      <c r="G13" s="117"/>
      <c r="H13" s="117"/>
      <c r="J13" s="2594"/>
      <c r="K13" s="235" t="s">
        <v>612</v>
      </c>
      <c r="L13" s="799">
        <v>4760</v>
      </c>
      <c r="M13" s="799">
        <v>6.3</v>
      </c>
      <c r="N13" s="799">
        <v>19.46</v>
      </c>
      <c r="O13" s="799">
        <v>28.3</v>
      </c>
      <c r="P13" s="799">
        <v>1.51</v>
      </c>
      <c r="Q13" s="799">
        <v>1510</v>
      </c>
      <c r="S13" s="799" t="s">
        <v>612</v>
      </c>
      <c r="T13" s="799">
        <v>4900</v>
      </c>
      <c r="U13" s="799">
        <v>0.4</v>
      </c>
      <c r="V13" s="799">
        <v>0.2</v>
      </c>
      <c r="W13" s="799">
        <v>22.7</v>
      </c>
      <c r="X13" s="799">
        <v>19.600000000000001</v>
      </c>
      <c r="Y13" s="799">
        <v>3.4</v>
      </c>
      <c r="Z13" s="799">
        <v>1.5</v>
      </c>
      <c r="AA13" s="799">
        <v>1550</v>
      </c>
      <c r="AC13" s="800" t="s">
        <v>613</v>
      </c>
      <c r="AD13" s="801">
        <v>850</v>
      </c>
      <c r="AE13" s="802">
        <v>0.8</v>
      </c>
      <c r="AF13" s="802">
        <v>8.1</v>
      </c>
      <c r="AG13" s="801">
        <v>2680</v>
      </c>
      <c r="AH13" s="801">
        <v>10.199999999999999</v>
      </c>
      <c r="AI13" s="801">
        <v>2.6</v>
      </c>
      <c r="AJ13" s="802">
        <v>0.3</v>
      </c>
      <c r="AK13" s="802">
        <v>0.1</v>
      </c>
    </row>
    <row r="14" spans="1:38">
      <c r="A14" s="2563" t="s">
        <v>614</v>
      </c>
      <c r="B14" s="2563"/>
      <c r="C14" s="233">
        <v>56100</v>
      </c>
      <c r="D14" s="230">
        <v>54300</v>
      </c>
      <c r="E14" s="231">
        <v>58300</v>
      </c>
      <c r="F14" s="117"/>
      <c r="G14" s="117"/>
      <c r="H14" s="117"/>
      <c r="J14" s="2594"/>
      <c r="K14" s="235" t="s">
        <v>615</v>
      </c>
      <c r="L14" s="799">
        <v>2310</v>
      </c>
      <c r="M14" s="799">
        <v>0.59</v>
      </c>
      <c r="N14" s="799">
        <v>8.73</v>
      </c>
      <c r="O14" s="799">
        <v>6.35</v>
      </c>
      <c r="P14" s="799">
        <v>0.73</v>
      </c>
      <c r="Q14" s="799">
        <v>730</v>
      </c>
      <c r="S14" s="799" t="s">
        <v>616</v>
      </c>
      <c r="T14" s="799">
        <v>2560</v>
      </c>
      <c r="U14" s="799">
        <v>0.04</v>
      </c>
      <c r="V14" s="799">
        <v>0.1</v>
      </c>
      <c r="W14" s="799">
        <v>11</v>
      </c>
      <c r="X14" s="799">
        <v>5.3</v>
      </c>
      <c r="Y14" s="799">
        <v>0.4</v>
      </c>
      <c r="Z14" s="799">
        <v>0.8</v>
      </c>
      <c r="AA14" s="799">
        <v>810</v>
      </c>
      <c r="AC14" s="800" t="s">
        <v>617</v>
      </c>
      <c r="AD14" s="801">
        <v>1000</v>
      </c>
      <c r="AE14" s="802">
        <v>1</v>
      </c>
      <c r="AF14" s="802">
        <v>17</v>
      </c>
      <c r="AG14" s="801">
        <v>3150</v>
      </c>
      <c r="AH14" s="801">
        <v>9</v>
      </c>
      <c r="AI14" s="801">
        <v>3.7</v>
      </c>
      <c r="AJ14" s="802">
        <v>0.4</v>
      </c>
      <c r="AK14" s="802">
        <v>0.1</v>
      </c>
    </row>
    <row r="15" spans="1:38" ht="14.1" customHeight="1">
      <c r="A15" s="2584" t="s">
        <v>618</v>
      </c>
      <c r="B15" s="2584"/>
      <c r="C15" s="2584"/>
      <c r="D15" s="2584"/>
      <c r="E15" s="2584"/>
      <c r="F15" s="117"/>
      <c r="G15" s="117"/>
      <c r="H15" s="117"/>
      <c r="J15" s="2594"/>
      <c r="K15" s="235" t="s">
        <v>616</v>
      </c>
      <c r="L15" s="1834">
        <v>2440</v>
      </c>
      <c r="M15" s="1834">
        <v>0.56999999999999995</v>
      </c>
      <c r="N15" s="1834">
        <v>9.01</v>
      </c>
      <c r="O15" s="1834">
        <v>6.19</v>
      </c>
      <c r="P15" s="1834">
        <v>0.77</v>
      </c>
      <c r="Q15" s="799">
        <v>770</v>
      </c>
      <c r="S15" s="799" t="s">
        <v>619</v>
      </c>
      <c r="T15" s="799">
        <v>2150</v>
      </c>
      <c r="U15" s="799">
        <v>6.8</v>
      </c>
      <c r="V15" s="799">
        <v>0.1</v>
      </c>
      <c r="W15" s="799">
        <v>4.9000000000000004</v>
      </c>
      <c r="X15" s="799">
        <v>67.8</v>
      </c>
      <c r="Y15" s="799">
        <v>61.6</v>
      </c>
      <c r="Z15" s="799">
        <v>0.7</v>
      </c>
      <c r="AA15" s="799">
        <v>680</v>
      </c>
      <c r="AC15" s="800" t="s">
        <v>620</v>
      </c>
      <c r="AD15" s="801"/>
      <c r="AE15" s="802">
        <v>1</v>
      </c>
      <c r="AF15" s="802">
        <v>7</v>
      </c>
      <c r="AG15" s="801">
        <v>3150</v>
      </c>
      <c r="AH15" s="801">
        <v>11</v>
      </c>
      <c r="AI15" s="801">
        <v>0.7</v>
      </c>
      <c r="AJ15" s="802">
        <v>0</v>
      </c>
      <c r="AK15" s="802">
        <v>0.1</v>
      </c>
    </row>
    <row r="16" spans="1:38" ht="14.4">
      <c r="A16" s="2584"/>
      <c r="B16" s="2584"/>
      <c r="C16" s="2584"/>
      <c r="D16" s="2584"/>
      <c r="E16" s="2584"/>
      <c r="F16" s="117"/>
      <c r="G16" s="117"/>
      <c r="H16" s="117"/>
      <c r="J16" s="2594"/>
      <c r="K16" s="235" t="s">
        <v>621</v>
      </c>
      <c r="L16" s="1834">
        <v>3020</v>
      </c>
      <c r="M16" s="1834">
        <v>1.42</v>
      </c>
      <c r="N16" s="1834">
        <v>16.72</v>
      </c>
      <c r="O16" s="1834">
        <v>7.55</v>
      </c>
      <c r="P16" s="1834">
        <v>0.96</v>
      </c>
      <c r="Q16" s="1834">
        <v>960</v>
      </c>
      <c r="S16" s="799" t="s">
        <v>622</v>
      </c>
      <c r="T16" s="799">
        <v>1800</v>
      </c>
      <c r="U16" s="799">
        <v>0.16</v>
      </c>
      <c r="V16" s="799">
        <v>0.1</v>
      </c>
      <c r="W16" s="799">
        <v>4.2</v>
      </c>
      <c r="X16" s="799">
        <v>11.2</v>
      </c>
      <c r="Y16" s="799">
        <v>1.2</v>
      </c>
      <c r="Z16" s="799">
        <v>0.6</v>
      </c>
      <c r="AA16" s="799">
        <v>570</v>
      </c>
      <c r="AC16" s="884" t="s">
        <v>623</v>
      </c>
      <c r="AD16" s="884" t="s">
        <v>597</v>
      </c>
      <c r="AE16" s="884" t="s">
        <v>605</v>
      </c>
      <c r="AF16" s="884" t="s">
        <v>600</v>
      </c>
      <c r="AG16" s="798" t="s">
        <v>443</v>
      </c>
      <c r="AH16" s="884" t="s">
        <v>599</v>
      </c>
      <c r="AI16" s="884" t="s">
        <v>604</v>
      </c>
      <c r="AJ16" s="884" t="s">
        <v>602</v>
      </c>
      <c r="AK16" s="884" t="s">
        <v>603</v>
      </c>
    </row>
    <row r="17" spans="1:37">
      <c r="A17" s="2584"/>
      <c r="B17" s="2584"/>
      <c r="C17" s="2584"/>
      <c r="D17" s="2584"/>
      <c r="E17" s="2584"/>
      <c r="F17" s="117"/>
      <c r="G17" s="117"/>
      <c r="H17" s="117"/>
      <c r="J17" s="2594"/>
      <c r="K17" s="235" t="s">
        <v>624</v>
      </c>
      <c r="L17" s="1834">
        <v>7050</v>
      </c>
      <c r="M17" s="1834">
        <v>1.28</v>
      </c>
      <c r="N17" s="1834">
        <v>35.57</v>
      </c>
      <c r="O17" s="1834">
        <v>16.2</v>
      </c>
      <c r="P17" s="1834">
        <v>2.23</v>
      </c>
      <c r="Q17" s="1834">
        <v>2230</v>
      </c>
      <c r="S17" s="799" t="s">
        <v>625</v>
      </c>
      <c r="T17" s="799">
        <v>5880</v>
      </c>
      <c r="U17" s="799">
        <v>9.8000000000000007</v>
      </c>
      <c r="V17" s="799">
        <v>0.2</v>
      </c>
      <c r="W17" s="799">
        <v>10.8</v>
      </c>
      <c r="X17" s="799">
        <v>92.4</v>
      </c>
      <c r="Y17" s="799">
        <v>87.8</v>
      </c>
      <c r="Z17" s="799">
        <v>1.9</v>
      </c>
      <c r="AA17" s="799">
        <v>1860</v>
      </c>
      <c r="AC17" s="800" t="s">
        <v>613</v>
      </c>
      <c r="AD17" s="801">
        <v>2500</v>
      </c>
      <c r="AE17" s="801">
        <v>2.5</v>
      </c>
      <c r="AF17" s="801">
        <v>50</v>
      </c>
      <c r="AG17" s="801">
        <v>7900</v>
      </c>
      <c r="AH17" s="801">
        <v>41</v>
      </c>
      <c r="AI17" s="801">
        <v>15</v>
      </c>
      <c r="AJ17" s="801">
        <v>1.5</v>
      </c>
      <c r="AK17" s="801">
        <v>0.2</v>
      </c>
    </row>
    <row r="18" spans="1:37">
      <c r="A18" s="2584"/>
      <c r="B18" s="2584"/>
      <c r="C18" s="2584"/>
      <c r="D18" s="2584"/>
      <c r="E18" s="2584"/>
      <c r="F18" s="117"/>
      <c r="G18" s="117"/>
      <c r="H18" s="117"/>
      <c r="J18" s="2594"/>
      <c r="K18" s="235" t="s">
        <v>626</v>
      </c>
      <c r="L18" s="1834">
        <v>5890</v>
      </c>
      <c r="M18" s="1834">
        <v>4.2</v>
      </c>
      <c r="N18" s="1834">
        <v>28.31</v>
      </c>
      <c r="O18" s="1834">
        <v>26.19</v>
      </c>
      <c r="P18" s="1834">
        <v>1.86</v>
      </c>
      <c r="Q18" s="1834">
        <v>1860</v>
      </c>
      <c r="S18" s="799" t="s">
        <v>627</v>
      </c>
      <c r="T18" s="799">
        <v>4455</v>
      </c>
      <c r="U18" s="799">
        <v>0.3</v>
      </c>
      <c r="V18" s="799">
        <v>0.1</v>
      </c>
      <c r="W18" s="799">
        <v>12.6</v>
      </c>
      <c r="X18" s="799">
        <v>9.1</v>
      </c>
      <c r="Y18" s="799">
        <v>3</v>
      </c>
      <c r="Z18" s="799">
        <v>1.4</v>
      </c>
      <c r="AA18" s="799">
        <v>1410</v>
      </c>
      <c r="AC18" s="800" t="s">
        <v>617</v>
      </c>
      <c r="AD18" s="801">
        <v>2400</v>
      </c>
      <c r="AE18" s="801">
        <v>2.4</v>
      </c>
      <c r="AF18" s="801">
        <v>101</v>
      </c>
      <c r="AG18" s="801">
        <v>7560</v>
      </c>
      <c r="AH18" s="801">
        <v>23.6</v>
      </c>
      <c r="AI18" s="801">
        <v>66</v>
      </c>
      <c r="AJ18" s="801">
        <v>7</v>
      </c>
      <c r="AK18" s="801">
        <v>0.2</v>
      </c>
    </row>
    <row r="19" spans="1:37">
      <c r="A19" s="885"/>
      <c r="B19" s="885"/>
      <c r="C19" s="885"/>
      <c r="D19" s="885"/>
      <c r="E19" s="885"/>
      <c r="F19" s="117"/>
      <c r="G19" s="117"/>
      <c r="H19" s="117"/>
      <c r="J19" s="2594"/>
      <c r="K19" s="235" t="s">
        <v>628</v>
      </c>
      <c r="L19" s="1834">
        <v>6380</v>
      </c>
      <c r="M19" s="1834">
        <v>3.9</v>
      </c>
      <c r="N19" s="1834">
        <v>34.81</v>
      </c>
      <c r="O19" s="1834">
        <v>25.23</v>
      </c>
      <c r="P19" s="1834">
        <v>2.02</v>
      </c>
      <c r="Q19" s="1834">
        <v>2020</v>
      </c>
      <c r="S19" s="799" t="s">
        <v>629</v>
      </c>
      <c r="T19" s="799">
        <v>3980</v>
      </c>
      <c r="U19" s="799">
        <v>0.7</v>
      </c>
      <c r="V19" s="799">
        <v>0.1</v>
      </c>
      <c r="W19" s="799">
        <v>9.1999999999999993</v>
      </c>
      <c r="X19" s="799">
        <v>24.5</v>
      </c>
      <c r="Y19" s="799">
        <v>6.3</v>
      </c>
      <c r="Z19" s="799">
        <v>1.3</v>
      </c>
      <c r="AA19" s="799">
        <v>1260</v>
      </c>
      <c r="AC19" s="800" t="s">
        <v>620</v>
      </c>
      <c r="AD19" s="801"/>
      <c r="AE19" s="801">
        <v>1</v>
      </c>
      <c r="AF19" s="801">
        <v>5</v>
      </c>
      <c r="AG19" s="801">
        <v>3150</v>
      </c>
      <c r="AH19" s="801">
        <v>17</v>
      </c>
      <c r="AI19" s="801">
        <v>2.7</v>
      </c>
      <c r="AJ19" s="801">
        <v>0</v>
      </c>
      <c r="AK19" s="801">
        <v>0.1</v>
      </c>
    </row>
    <row r="20" spans="1:37" ht="15" thickBot="1">
      <c r="A20" s="117" t="s">
        <v>630</v>
      </c>
      <c r="B20" s="117"/>
      <c r="C20" s="117"/>
      <c r="D20" s="117"/>
      <c r="E20" s="117"/>
      <c r="F20" s="117"/>
      <c r="G20" s="117"/>
      <c r="H20" s="117"/>
      <c r="J20" s="2594"/>
      <c r="K20" s="235" t="s">
        <v>631</v>
      </c>
      <c r="L20" s="1834">
        <v>10660</v>
      </c>
      <c r="M20" s="1834">
        <v>0.14000000000000001</v>
      </c>
      <c r="N20" s="1834">
        <v>64.45</v>
      </c>
      <c r="O20" s="1834">
        <v>15.31</v>
      </c>
      <c r="P20" s="1834">
        <v>3.37</v>
      </c>
      <c r="Q20" s="1834">
        <v>3370</v>
      </c>
      <c r="S20" s="799" t="s">
        <v>632</v>
      </c>
      <c r="T20" s="799">
        <v>2905</v>
      </c>
      <c r="U20" s="799">
        <v>0.2</v>
      </c>
      <c r="V20" s="799">
        <v>0.1</v>
      </c>
      <c r="W20" s="799">
        <v>8</v>
      </c>
      <c r="X20" s="799">
        <v>6.2</v>
      </c>
      <c r="Y20" s="799">
        <v>2</v>
      </c>
      <c r="Z20" s="799">
        <v>0.9</v>
      </c>
      <c r="AA20" s="799">
        <v>920</v>
      </c>
      <c r="AC20" s="236" t="s">
        <v>633</v>
      </c>
    </row>
    <row r="21" spans="1:37" ht="15" thickBot="1">
      <c r="A21" s="2545" t="s">
        <v>597</v>
      </c>
      <c r="B21" s="2546"/>
      <c r="C21" s="2559" t="s">
        <v>634</v>
      </c>
      <c r="D21" s="2560"/>
      <c r="E21" s="2561"/>
      <c r="F21" s="2559" t="s">
        <v>635</v>
      </c>
      <c r="G21" s="2560"/>
      <c r="H21" s="2561"/>
      <c r="J21" s="2594"/>
      <c r="K21" s="235">
        <v>707</v>
      </c>
      <c r="L21" s="1834">
        <v>5890</v>
      </c>
      <c r="M21" s="1834">
        <v>97.45</v>
      </c>
      <c r="N21" s="1834">
        <v>10.96</v>
      </c>
      <c r="O21" s="1834">
        <v>92.37</v>
      </c>
      <c r="P21" s="1834">
        <v>1.86</v>
      </c>
      <c r="Q21" s="1834">
        <v>1860</v>
      </c>
      <c r="S21" s="1834" t="s">
        <v>636</v>
      </c>
      <c r="T21" s="799">
        <v>2750</v>
      </c>
      <c r="U21" s="799">
        <v>0.5</v>
      </c>
      <c r="V21" s="799">
        <v>0.1</v>
      </c>
      <c r="W21" s="799">
        <v>6.7</v>
      </c>
      <c r="X21" s="799">
        <v>16</v>
      </c>
      <c r="Y21" s="799">
        <v>4</v>
      </c>
      <c r="Z21" s="799">
        <v>0.9</v>
      </c>
      <c r="AA21" s="799">
        <v>870</v>
      </c>
    </row>
    <row r="22" spans="1:37" ht="13.8" thickBot="1">
      <c r="A22" s="2547"/>
      <c r="B22" s="2548"/>
      <c r="C22" s="237" t="s">
        <v>637</v>
      </c>
      <c r="D22" s="803" t="s">
        <v>586</v>
      </c>
      <c r="E22" s="804" t="s">
        <v>587</v>
      </c>
      <c r="F22" s="237" t="s">
        <v>637</v>
      </c>
      <c r="G22" s="803" t="s">
        <v>586</v>
      </c>
      <c r="H22" s="804" t="s">
        <v>587</v>
      </c>
      <c r="J22" s="2594"/>
      <c r="K22" s="235">
        <v>717</v>
      </c>
      <c r="L22" s="1834">
        <v>2140</v>
      </c>
      <c r="M22" s="1834">
        <v>0.05</v>
      </c>
      <c r="N22" s="1834">
        <v>6.68</v>
      </c>
      <c r="O22" s="1834">
        <v>6.78</v>
      </c>
      <c r="P22" s="1834">
        <v>0.68</v>
      </c>
      <c r="Q22" s="1834">
        <v>680</v>
      </c>
      <c r="S22" s="1834" t="s">
        <v>638</v>
      </c>
      <c r="T22" s="799">
        <v>2625</v>
      </c>
      <c r="U22" s="799">
        <v>0.08</v>
      </c>
      <c r="V22" s="799">
        <v>0.1</v>
      </c>
      <c r="W22" s="799">
        <v>8.1999999999999993</v>
      </c>
      <c r="X22" s="799">
        <v>12.2</v>
      </c>
      <c r="Y22" s="799">
        <v>0.6</v>
      </c>
      <c r="Z22" s="799">
        <v>0.8</v>
      </c>
      <c r="AA22" s="799">
        <v>830</v>
      </c>
    </row>
    <row r="23" spans="1:37">
      <c r="A23" s="2562" t="s">
        <v>639</v>
      </c>
      <c r="B23" s="2562"/>
      <c r="C23" s="238">
        <v>33</v>
      </c>
      <c r="D23" s="227">
        <v>9.6</v>
      </c>
      <c r="E23" s="739">
        <v>110</v>
      </c>
      <c r="F23" s="238">
        <v>3.2</v>
      </c>
      <c r="G23" s="227">
        <v>0.96</v>
      </c>
      <c r="H23" s="228">
        <v>11</v>
      </c>
      <c r="J23" s="2594"/>
      <c r="K23" s="235" t="s">
        <v>640</v>
      </c>
      <c r="L23" s="1834">
        <v>3970</v>
      </c>
      <c r="M23" s="1834">
        <v>6.94</v>
      </c>
      <c r="N23" s="1834">
        <v>9.23</v>
      </c>
      <c r="O23" s="1834">
        <v>24.44</v>
      </c>
      <c r="P23" s="1834">
        <v>1.26</v>
      </c>
      <c r="Q23" s="1834">
        <v>1260</v>
      </c>
      <c r="S23" s="1834" t="s">
        <v>641</v>
      </c>
      <c r="T23" s="799">
        <v>10680</v>
      </c>
      <c r="U23" s="799">
        <v>3.6</v>
      </c>
      <c r="V23" s="799">
        <v>0.3</v>
      </c>
      <c r="W23" s="799">
        <v>53.2</v>
      </c>
      <c r="X23" s="799">
        <v>91</v>
      </c>
      <c r="Y23" s="799">
        <v>32</v>
      </c>
      <c r="Z23" s="799">
        <v>3.4</v>
      </c>
      <c r="AA23" s="799">
        <v>3380</v>
      </c>
    </row>
    <row r="24" spans="1:37">
      <c r="A24" s="2563" t="s">
        <v>642</v>
      </c>
      <c r="B24" s="2563"/>
      <c r="C24" s="233">
        <v>25</v>
      </c>
      <c r="D24" s="230">
        <v>7.5</v>
      </c>
      <c r="E24" s="231">
        <v>86</v>
      </c>
      <c r="F24" s="233">
        <v>8</v>
      </c>
      <c r="G24" s="230">
        <v>2.6</v>
      </c>
      <c r="H24" s="231">
        <v>24</v>
      </c>
      <c r="J24" s="2594"/>
      <c r="K24" s="235" t="s">
        <v>643</v>
      </c>
      <c r="L24" s="1834">
        <v>4610</v>
      </c>
      <c r="M24" s="1834">
        <v>8.14</v>
      </c>
      <c r="N24" s="1834">
        <v>11.97</v>
      </c>
      <c r="O24" s="1834">
        <v>27.16</v>
      </c>
      <c r="P24" s="1834">
        <v>1.46</v>
      </c>
      <c r="Q24" s="1834">
        <v>1460</v>
      </c>
      <c r="S24" s="1834" t="s">
        <v>644</v>
      </c>
      <c r="T24" s="799">
        <v>10145</v>
      </c>
      <c r="U24" s="799">
        <v>4.8</v>
      </c>
      <c r="V24" s="799">
        <v>0.3</v>
      </c>
      <c r="W24" s="799">
        <v>49.2</v>
      </c>
      <c r="X24" s="799">
        <v>115</v>
      </c>
      <c r="Y24" s="799">
        <v>43.6</v>
      </c>
      <c r="Z24" s="799">
        <v>3.2</v>
      </c>
      <c r="AA24" s="799">
        <v>3210</v>
      </c>
    </row>
    <row r="25" spans="1:37">
      <c r="A25" s="2567" t="s">
        <v>645</v>
      </c>
      <c r="B25" s="2568"/>
      <c r="C25" s="239">
        <v>3.8</v>
      </c>
      <c r="D25" s="230">
        <v>1.1000000000000001</v>
      </c>
      <c r="E25" s="231">
        <v>13</v>
      </c>
      <c r="F25" s="239">
        <v>5.7</v>
      </c>
      <c r="G25" s="230">
        <v>1.9</v>
      </c>
      <c r="H25" s="231">
        <v>17</v>
      </c>
      <c r="J25" s="2594"/>
      <c r="K25" s="235" t="s">
        <v>646</v>
      </c>
      <c r="L25" s="1834">
        <v>2740</v>
      </c>
      <c r="M25" s="1834">
        <v>4.51</v>
      </c>
      <c r="N25" s="1834">
        <v>6.74</v>
      </c>
      <c r="O25" s="1834">
        <v>16.04</v>
      </c>
      <c r="P25" s="1834">
        <v>0.87</v>
      </c>
      <c r="Q25" s="1834">
        <v>870</v>
      </c>
      <c r="S25" s="1834" t="s">
        <v>647</v>
      </c>
      <c r="T25" s="1834">
        <v>10710</v>
      </c>
      <c r="U25" s="1834">
        <v>1.2</v>
      </c>
      <c r="V25" s="1834">
        <v>0.3</v>
      </c>
      <c r="W25" s="799">
        <v>56.5</v>
      </c>
      <c r="X25" s="799">
        <v>45</v>
      </c>
      <c r="Y25" s="799">
        <v>10.8</v>
      </c>
      <c r="Z25" s="799">
        <v>3.4</v>
      </c>
      <c r="AA25" s="799">
        <v>3390</v>
      </c>
    </row>
    <row r="26" spans="1:37">
      <c r="A26" s="2569" t="s">
        <v>648</v>
      </c>
      <c r="B26" s="2570"/>
      <c r="C26" s="240">
        <v>3.9</v>
      </c>
      <c r="D26" s="230">
        <v>1.6</v>
      </c>
      <c r="E26" s="231">
        <v>9.5</v>
      </c>
      <c r="F26" s="240">
        <v>3.9</v>
      </c>
      <c r="G26" s="230">
        <v>1.3</v>
      </c>
      <c r="H26" s="231">
        <v>12</v>
      </c>
      <c r="J26" s="2594"/>
      <c r="K26" s="235" t="s">
        <v>649</v>
      </c>
      <c r="L26" s="1834">
        <v>2480</v>
      </c>
      <c r="M26" s="1834">
        <v>0.84</v>
      </c>
      <c r="N26" s="1834">
        <v>7.19</v>
      </c>
      <c r="O26" s="1834">
        <v>13.03</v>
      </c>
      <c r="P26" s="1834">
        <v>0.78</v>
      </c>
      <c r="Q26" s="1834">
        <v>780</v>
      </c>
      <c r="S26" s="1834" t="s">
        <v>650</v>
      </c>
      <c r="T26" s="1834">
        <v>4110</v>
      </c>
      <c r="U26" s="1834">
        <v>0.1</v>
      </c>
      <c r="V26" s="1834">
        <v>0.1</v>
      </c>
      <c r="W26" s="799">
        <v>21.6</v>
      </c>
      <c r="X26" s="799">
        <v>10.6</v>
      </c>
      <c r="Y26" s="799">
        <v>0.8</v>
      </c>
      <c r="Z26" s="799">
        <v>1.3</v>
      </c>
      <c r="AA26" s="799">
        <v>1300</v>
      </c>
    </row>
    <row r="27" spans="1:37">
      <c r="A27" s="2571" t="s">
        <v>651</v>
      </c>
      <c r="B27" s="2572"/>
      <c r="C27" s="239">
        <v>92</v>
      </c>
      <c r="D27" s="230">
        <v>50</v>
      </c>
      <c r="E27" s="231">
        <v>1540</v>
      </c>
      <c r="F27" s="239">
        <v>3</v>
      </c>
      <c r="G27" s="230">
        <v>1</v>
      </c>
      <c r="H27" s="231">
        <v>77</v>
      </c>
      <c r="J27" s="2594"/>
      <c r="K27" s="235" t="s">
        <v>652</v>
      </c>
      <c r="L27" s="1834">
        <v>2280</v>
      </c>
      <c r="M27" s="1834">
        <v>1.01</v>
      </c>
      <c r="N27" s="1834">
        <v>7.66</v>
      </c>
      <c r="O27" s="1834">
        <v>8.65</v>
      </c>
      <c r="P27" s="1834">
        <v>0.72</v>
      </c>
      <c r="Q27" s="799">
        <v>720</v>
      </c>
      <c r="S27" s="1834" t="s">
        <v>653</v>
      </c>
      <c r="T27" s="1834">
        <v>5405</v>
      </c>
      <c r="U27" s="1834">
        <v>0.4</v>
      </c>
      <c r="V27" s="1834">
        <v>0.2</v>
      </c>
      <c r="W27" s="799">
        <v>26.7</v>
      </c>
      <c r="X27" s="799">
        <v>20.3</v>
      </c>
      <c r="Y27" s="799">
        <v>3.2</v>
      </c>
      <c r="Z27" s="799">
        <v>1.7</v>
      </c>
      <c r="AA27" s="799">
        <v>1710</v>
      </c>
    </row>
    <row r="28" spans="1:37">
      <c r="A28" s="2569" t="s">
        <v>654</v>
      </c>
      <c r="B28" s="2570"/>
      <c r="C28" s="240">
        <v>62</v>
      </c>
      <c r="D28" s="230" t="s">
        <v>655</v>
      </c>
      <c r="E28" s="231" t="s">
        <v>655</v>
      </c>
      <c r="F28" s="240">
        <v>0.2</v>
      </c>
      <c r="G28" s="230" t="s">
        <v>655</v>
      </c>
      <c r="H28" s="231" t="s">
        <v>655</v>
      </c>
      <c r="J28" s="2594"/>
      <c r="K28" s="235" t="s">
        <v>656</v>
      </c>
      <c r="L28" s="1834">
        <v>2460</v>
      </c>
      <c r="M28" s="1834">
        <v>0.86</v>
      </c>
      <c r="N28" s="1834">
        <v>9.1199999999999992</v>
      </c>
      <c r="O28" s="1834">
        <v>8</v>
      </c>
      <c r="P28" s="1834">
        <v>0.78</v>
      </c>
      <c r="Q28" s="799">
        <v>780</v>
      </c>
      <c r="S28" s="1834" t="s">
        <v>657</v>
      </c>
      <c r="T28" s="1834">
        <v>2655</v>
      </c>
      <c r="U28" s="1834">
        <v>0.5</v>
      </c>
      <c r="V28" s="1834">
        <v>0.1</v>
      </c>
      <c r="W28" s="799">
        <v>3.2</v>
      </c>
      <c r="X28" s="799">
        <v>16.3</v>
      </c>
      <c r="Y28" s="799">
        <v>4.0999999999999996</v>
      </c>
      <c r="Z28" s="799">
        <v>0.8</v>
      </c>
      <c r="AA28" s="799">
        <v>840</v>
      </c>
    </row>
    <row r="29" spans="1:37">
      <c r="A29" s="2573" t="s">
        <v>658</v>
      </c>
      <c r="B29" s="2574"/>
      <c r="C29" s="241">
        <v>260</v>
      </c>
      <c r="D29" s="230">
        <v>77</v>
      </c>
      <c r="E29" s="231">
        <v>880</v>
      </c>
      <c r="F29" s="241">
        <v>41</v>
      </c>
      <c r="G29" s="230">
        <v>13</v>
      </c>
      <c r="H29" s="231">
        <v>123</v>
      </c>
      <c r="J29" s="2594"/>
      <c r="K29" s="235" t="s">
        <v>659</v>
      </c>
      <c r="L29" s="1834">
        <v>2780</v>
      </c>
      <c r="M29" s="1834">
        <v>0.72</v>
      </c>
      <c r="N29" s="1834">
        <v>12.3</v>
      </c>
      <c r="O29" s="1834">
        <v>7.07</v>
      </c>
      <c r="P29" s="1834">
        <v>0.88</v>
      </c>
      <c r="Q29" s="799">
        <v>880</v>
      </c>
      <c r="S29" s="1834" t="s">
        <v>660</v>
      </c>
      <c r="T29" s="1834">
        <v>5890</v>
      </c>
      <c r="U29" s="1834">
        <v>5.8</v>
      </c>
      <c r="V29" s="1834">
        <v>0.2</v>
      </c>
      <c r="W29" s="799">
        <v>14.8</v>
      </c>
      <c r="X29" s="799">
        <v>65.2</v>
      </c>
      <c r="Y29" s="799">
        <v>52.2</v>
      </c>
      <c r="Z29" s="799">
        <v>1.9</v>
      </c>
      <c r="AA29" s="799">
        <v>1860</v>
      </c>
    </row>
    <row r="30" spans="1:37">
      <c r="A30" s="2573" t="s">
        <v>661</v>
      </c>
      <c r="B30" s="2574"/>
      <c r="C30" s="241">
        <v>18</v>
      </c>
      <c r="D30" s="230">
        <v>13</v>
      </c>
      <c r="E30" s="231">
        <v>84</v>
      </c>
      <c r="F30" s="241" t="s">
        <v>655</v>
      </c>
      <c r="G30" s="230" t="s">
        <v>655</v>
      </c>
      <c r="H30" s="231" t="s">
        <v>655</v>
      </c>
      <c r="J30" s="2594"/>
      <c r="K30" s="235" t="s">
        <v>662</v>
      </c>
      <c r="L30" s="1834">
        <v>10140</v>
      </c>
      <c r="M30" s="1834">
        <v>48.43</v>
      </c>
      <c r="N30" s="1834">
        <v>49.17</v>
      </c>
      <c r="O30" s="1834">
        <v>114.59</v>
      </c>
      <c r="P30" s="1834">
        <v>3.21</v>
      </c>
      <c r="Q30" s="799">
        <v>3210</v>
      </c>
      <c r="S30" s="1834" t="s">
        <v>663</v>
      </c>
      <c r="T30" s="799">
        <v>2780</v>
      </c>
      <c r="U30" s="799">
        <v>0.8</v>
      </c>
      <c r="V30" s="799">
        <v>0.1</v>
      </c>
      <c r="W30" s="799">
        <v>7.2</v>
      </c>
      <c r="X30" s="799">
        <v>7.3</v>
      </c>
      <c r="Y30" s="799">
        <v>7.4</v>
      </c>
      <c r="Z30" s="799">
        <v>0.9</v>
      </c>
      <c r="AA30" s="799">
        <v>880</v>
      </c>
    </row>
    <row r="31" spans="1:37">
      <c r="A31" s="2585" t="s">
        <v>664</v>
      </c>
      <c r="B31" s="2586"/>
      <c r="C31" s="2586"/>
      <c r="D31" s="2586"/>
      <c r="E31" s="2586"/>
      <c r="F31" s="2586"/>
      <c r="G31" s="2586"/>
      <c r="H31" s="2586"/>
      <c r="J31" s="2594"/>
      <c r="K31" s="235" t="s">
        <v>665</v>
      </c>
      <c r="L31" s="1834">
        <v>11370</v>
      </c>
      <c r="M31" s="1834">
        <v>18.239999999999998</v>
      </c>
      <c r="N31" s="1834">
        <v>49.52</v>
      </c>
      <c r="O31" s="1834">
        <v>79.78</v>
      </c>
      <c r="P31" s="1834">
        <v>3.6</v>
      </c>
      <c r="Q31" s="799">
        <v>3600</v>
      </c>
      <c r="S31" s="1834" t="s">
        <v>666</v>
      </c>
      <c r="T31" s="799">
        <v>7460</v>
      </c>
      <c r="U31" s="799">
        <v>2.1</v>
      </c>
      <c r="V31" s="799">
        <v>0.2</v>
      </c>
      <c r="W31" s="799">
        <v>41</v>
      </c>
      <c r="X31" s="799">
        <v>59.3</v>
      </c>
      <c r="Y31" s="799">
        <v>19.2</v>
      </c>
      <c r="Z31" s="799">
        <v>2.4</v>
      </c>
      <c r="AA31" s="799">
        <v>2360</v>
      </c>
    </row>
    <row r="32" spans="1:37">
      <c r="J32" s="2594"/>
      <c r="K32" s="235" t="s">
        <v>667</v>
      </c>
      <c r="L32" s="1834">
        <v>11080</v>
      </c>
      <c r="M32" s="1834">
        <v>2.73</v>
      </c>
      <c r="N32" s="1834">
        <v>65</v>
      </c>
      <c r="O32" s="1834">
        <v>17.84</v>
      </c>
      <c r="P32" s="1834">
        <v>3.51</v>
      </c>
      <c r="Q32" s="799">
        <v>3510</v>
      </c>
      <c r="S32" s="1834" t="s">
        <v>668</v>
      </c>
      <c r="T32" s="799">
        <v>2115</v>
      </c>
      <c r="U32" s="799">
        <v>5.5</v>
      </c>
      <c r="V32" s="799">
        <v>0.1</v>
      </c>
      <c r="W32" s="799">
        <v>5.3</v>
      </c>
      <c r="X32" s="799">
        <v>54.8</v>
      </c>
      <c r="Y32" s="799">
        <v>49.3</v>
      </c>
      <c r="Z32" s="799">
        <v>0.7</v>
      </c>
      <c r="AA32" s="799">
        <v>670</v>
      </c>
    </row>
    <row r="33" spans="1:28">
      <c r="A33" s="116" t="s">
        <v>669</v>
      </c>
      <c r="B33" s="214"/>
      <c r="C33" s="214"/>
      <c r="D33" s="214"/>
      <c r="E33" s="214"/>
      <c r="F33" s="214"/>
      <c r="G33" s="214"/>
      <c r="H33" s="214"/>
      <c r="J33" s="2594"/>
      <c r="K33" s="235" t="s">
        <v>670</v>
      </c>
      <c r="L33" s="1834">
        <v>10240</v>
      </c>
      <c r="M33" s="1834">
        <v>2.25</v>
      </c>
      <c r="N33" s="1834">
        <v>42.88</v>
      </c>
      <c r="O33" s="1834">
        <v>26.72</v>
      </c>
      <c r="P33" s="1834">
        <v>3.24</v>
      </c>
      <c r="Q33" s="799">
        <v>3240</v>
      </c>
      <c r="S33" s="799" t="s">
        <v>671</v>
      </c>
      <c r="T33" s="799">
        <v>2340</v>
      </c>
      <c r="U33" s="799">
        <v>0.2</v>
      </c>
      <c r="V33" s="799">
        <v>0.1</v>
      </c>
      <c r="W33" s="799">
        <v>5.7</v>
      </c>
      <c r="X33" s="799">
        <v>13</v>
      </c>
      <c r="Y33" s="799">
        <v>1.2</v>
      </c>
      <c r="Z33" s="799">
        <v>0.7</v>
      </c>
      <c r="AA33" s="799">
        <v>740</v>
      </c>
    </row>
    <row r="34" spans="1:28" ht="13.8" thickBot="1">
      <c r="A34" s="117" t="s">
        <v>672</v>
      </c>
      <c r="B34" s="117"/>
      <c r="C34" s="117"/>
      <c r="D34" s="117"/>
      <c r="E34" s="117"/>
      <c r="F34" s="117"/>
      <c r="G34" s="117"/>
      <c r="J34" s="2594"/>
      <c r="K34" s="235" t="s">
        <v>673</v>
      </c>
      <c r="L34" s="1834">
        <v>4320</v>
      </c>
      <c r="M34" s="1834">
        <v>0.22</v>
      </c>
      <c r="N34" s="1834">
        <v>23.43</v>
      </c>
      <c r="O34" s="1834">
        <v>8.08</v>
      </c>
      <c r="P34" s="1834">
        <v>1.37</v>
      </c>
      <c r="Q34" s="799">
        <v>1370</v>
      </c>
      <c r="S34" s="799" t="s">
        <v>674</v>
      </c>
      <c r="T34" s="799">
        <v>8025</v>
      </c>
      <c r="U34" s="799">
        <v>7.3</v>
      </c>
      <c r="V34" s="799">
        <v>0.3</v>
      </c>
      <c r="W34" s="799">
        <v>29.7</v>
      </c>
      <c r="X34" s="799">
        <v>112</v>
      </c>
      <c r="Y34" s="799">
        <v>65.400000000000006</v>
      </c>
      <c r="Z34" s="799">
        <v>2.5</v>
      </c>
      <c r="AA34" s="799">
        <v>2540</v>
      </c>
    </row>
    <row r="35" spans="1:28">
      <c r="A35" s="2587" t="s">
        <v>675</v>
      </c>
      <c r="B35" s="2564" t="s">
        <v>676</v>
      </c>
      <c r="C35" s="2565"/>
      <c r="D35" s="2566"/>
      <c r="E35" s="2564" t="s">
        <v>677</v>
      </c>
      <c r="F35" s="2565"/>
      <c r="G35" s="2566"/>
      <c r="J35" s="2594"/>
      <c r="K35" s="235" t="s">
        <v>678</v>
      </c>
      <c r="L35" s="1834">
        <v>4630</v>
      </c>
      <c r="M35" s="1834">
        <v>0.11</v>
      </c>
      <c r="N35" s="1834">
        <v>17.850000000000001</v>
      </c>
      <c r="O35" s="1834">
        <v>11.62</v>
      </c>
      <c r="P35" s="1834">
        <v>1.46</v>
      </c>
      <c r="Q35" s="799">
        <v>1460</v>
      </c>
      <c r="S35" s="799" t="s">
        <v>679</v>
      </c>
      <c r="T35" s="805">
        <v>945</v>
      </c>
      <c r="U35" s="805" t="s">
        <v>680</v>
      </c>
      <c r="V35" s="805" t="s">
        <v>681</v>
      </c>
      <c r="W35" s="805" t="s">
        <v>682</v>
      </c>
      <c r="X35" s="805" t="s">
        <v>683</v>
      </c>
      <c r="Y35" s="805" t="s">
        <v>684</v>
      </c>
      <c r="Z35" s="805" t="s">
        <v>682</v>
      </c>
      <c r="AA35" s="805" t="s">
        <v>685</v>
      </c>
    </row>
    <row r="36" spans="1:28" ht="13.8" thickBot="1">
      <c r="A36" s="2588"/>
      <c r="B36" s="242" t="s">
        <v>585</v>
      </c>
      <c r="C36" s="927" t="s">
        <v>586</v>
      </c>
      <c r="D36" s="928" t="s">
        <v>587</v>
      </c>
      <c r="E36" s="242" t="s">
        <v>585</v>
      </c>
      <c r="F36" s="927" t="s">
        <v>586</v>
      </c>
      <c r="G36" s="928" t="s">
        <v>587</v>
      </c>
      <c r="J36" s="2594"/>
      <c r="K36" s="235" t="s">
        <v>686</v>
      </c>
      <c r="L36" s="1834">
        <v>4620</v>
      </c>
      <c r="M36" s="1834">
        <v>3.32</v>
      </c>
      <c r="N36" s="1834">
        <v>23.76</v>
      </c>
      <c r="O36" s="1834">
        <v>14.8</v>
      </c>
      <c r="P36" s="1834">
        <v>1.46</v>
      </c>
      <c r="Q36" s="799">
        <v>1460</v>
      </c>
      <c r="S36" s="799" t="s">
        <v>687</v>
      </c>
      <c r="T36" s="799">
        <v>6920</v>
      </c>
      <c r="U36" s="799">
        <v>8.3000000000000007</v>
      </c>
      <c r="V36" s="799">
        <v>0.2</v>
      </c>
      <c r="W36" s="799">
        <v>14</v>
      </c>
      <c r="X36" s="799">
        <v>116.81</v>
      </c>
      <c r="Y36" s="799">
        <v>75.900000000000006</v>
      </c>
      <c r="Z36" s="799">
        <v>2.2000000000000002</v>
      </c>
      <c r="AA36" s="799">
        <v>2190</v>
      </c>
    </row>
    <row r="37" spans="1:28" ht="14.4">
      <c r="A37" s="243" t="s">
        <v>688</v>
      </c>
      <c r="B37" s="244">
        <v>74100</v>
      </c>
      <c r="C37" s="245">
        <v>72600</v>
      </c>
      <c r="D37" s="246">
        <v>74800</v>
      </c>
      <c r="E37" s="244">
        <v>96100</v>
      </c>
      <c r="F37" s="245">
        <v>72800</v>
      </c>
      <c r="G37" s="246">
        <v>100000</v>
      </c>
      <c r="J37" s="2594"/>
      <c r="K37" s="235" t="s">
        <v>689</v>
      </c>
      <c r="L37" s="1834">
        <v>5610</v>
      </c>
      <c r="M37" s="1834">
        <v>1.19</v>
      </c>
      <c r="N37" s="1834">
        <v>28.19</v>
      </c>
      <c r="O37" s="1834">
        <v>14.47</v>
      </c>
      <c r="P37" s="1834">
        <v>1.77</v>
      </c>
      <c r="Q37" s="799">
        <v>1780</v>
      </c>
      <c r="S37" s="799" t="s">
        <v>690</v>
      </c>
      <c r="T37" s="799">
        <v>20290</v>
      </c>
      <c r="U37" s="799">
        <v>10.7</v>
      </c>
      <c r="V37" s="799">
        <v>0.6</v>
      </c>
      <c r="W37" s="799">
        <v>35.200000000000003</v>
      </c>
      <c r="X37" s="799">
        <v>385</v>
      </c>
      <c r="Y37" s="799">
        <v>96</v>
      </c>
      <c r="Z37" s="799">
        <v>6.4</v>
      </c>
      <c r="AA37" s="799">
        <v>6420</v>
      </c>
    </row>
    <row r="38" spans="1:28" ht="14.4">
      <c r="A38" s="243" t="s">
        <v>691</v>
      </c>
      <c r="B38" s="244">
        <v>4.1500000000000004</v>
      </c>
      <c r="C38" s="245">
        <v>1.67</v>
      </c>
      <c r="D38" s="246">
        <v>10.4</v>
      </c>
      <c r="E38" s="244">
        <v>2</v>
      </c>
      <c r="F38" s="245">
        <v>0.6</v>
      </c>
      <c r="G38" s="246">
        <v>6</v>
      </c>
      <c r="J38" s="2594"/>
      <c r="K38" s="235" t="s">
        <v>692</v>
      </c>
      <c r="L38" s="799">
        <v>5520</v>
      </c>
      <c r="M38" s="799">
        <v>0.98</v>
      </c>
      <c r="N38" s="799">
        <v>24.8</v>
      </c>
      <c r="O38" s="799">
        <v>12.37</v>
      </c>
      <c r="P38" s="799">
        <v>1.75</v>
      </c>
      <c r="Q38" s="799">
        <v>1750</v>
      </c>
      <c r="S38" s="799" t="s">
        <v>693</v>
      </c>
      <c r="T38" s="799">
        <v>2150</v>
      </c>
      <c r="U38" s="799">
        <v>0.1</v>
      </c>
      <c r="V38" s="799">
        <v>0.1</v>
      </c>
      <c r="W38" s="799">
        <v>5.6</v>
      </c>
      <c r="X38" s="799">
        <v>8.5</v>
      </c>
      <c r="Y38" s="799">
        <v>1.2</v>
      </c>
      <c r="Z38" s="799">
        <v>0.7</v>
      </c>
      <c r="AA38" s="799">
        <v>680</v>
      </c>
    </row>
    <row r="39" spans="1:28" ht="15" thickBot="1">
      <c r="A39" s="247" t="s">
        <v>694</v>
      </c>
      <c r="B39" s="806">
        <v>28.6</v>
      </c>
      <c r="C39" s="1106">
        <v>14.3</v>
      </c>
      <c r="D39" s="1004">
        <v>85.8</v>
      </c>
      <c r="E39" s="806">
        <v>1.5</v>
      </c>
      <c r="F39" s="1106">
        <v>0.5</v>
      </c>
      <c r="G39" s="1004">
        <v>5</v>
      </c>
      <c r="J39" s="2594"/>
      <c r="K39" s="235" t="s">
        <v>695</v>
      </c>
      <c r="L39" s="799">
        <v>8100</v>
      </c>
      <c r="M39" s="799">
        <v>0.66</v>
      </c>
      <c r="N39" s="799">
        <v>52.81</v>
      </c>
      <c r="O39" s="799">
        <v>12.76</v>
      </c>
      <c r="P39" s="799">
        <v>2.56</v>
      </c>
      <c r="Q39" s="799">
        <v>2560</v>
      </c>
    </row>
    <row r="40" spans="1:28">
      <c r="A40" s="117"/>
      <c r="B40" s="117"/>
      <c r="C40" s="117"/>
      <c r="D40" s="117"/>
      <c r="E40" s="117"/>
      <c r="F40" s="117"/>
      <c r="G40" s="117"/>
      <c r="H40" s="117"/>
      <c r="J40" s="2594"/>
      <c r="K40" s="235" t="s">
        <v>696</v>
      </c>
      <c r="L40" s="799">
        <v>7290</v>
      </c>
      <c r="M40" s="799">
        <v>2.37</v>
      </c>
      <c r="N40" s="799">
        <v>35.65</v>
      </c>
      <c r="O40" s="799">
        <v>20.59</v>
      </c>
      <c r="P40" s="799">
        <v>2.31</v>
      </c>
      <c r="Q40" s="799">
        <v>2310</v>
      </c>
      <c r="S40" s="217" t="s">
        <v>697</v>
      </c>
    </row>
    <row r="41" spans="1:28">
      <c r="A41" s="117"/>
      <c r="B41" s="117"/>
      <c r="C41" s="117"/>
      <c r="D41" s="117"/>
      <c r="E41" s="117"/>
      <c r="F41" s="117"/>
      <c r="G41" s="117"/>
      <c r="H41" s="117"/>
      <c r="J41" s="2594"/>
      <c r="K41" s="235" t="s">
        <v>698</v>
      </c>
      <c r="L41" s="799">
        <v>5360</v>
      </c>
      <c r="M41" s="799">
        <v>1.51</v>
      </c>
      <c r="N41" s="799">
        <v>15.62</v>
      </c>
      <c r="O41" s="799">
        <v>26.31</v>
      </c>
      <c r="P41" s="799">
        <v>1.7</v>
      </c>
      <c r="Q41" s="799">
        <v>1700</v>
      </c>
      <c r="S41" s="217" t="s">
        <v>699</v>
      </c>
    </row>
    <row r="42" spans="1:28">
      <c r="A42" s="220" t="s">
        <v>700</v>
      </c>
      <c r="B42" s="117"/>
      <c r="C42" s="117"/>
      <c r="D42" s="117"/>
      <c r="E42" s="117"/>
      <c r="F42" s="117"/>
      <c r="G42" s="117"/>
      <c r="H42" s="117"/>
      <c r="J42" s="2594"/>
      <c r="K42" s="235" t="s">
        <v>701</v>
      </c>
      <c r="L42" s="799">
        <v>2650</v>
      </c>
      <c r="M42" s="799">
        <v>4.63</v>
      </c>
      <c r="N42" s="799">
        <v>6.16</v>
      </c>
      <c r="O42" s="799">
        <v>16.29</v>
      </c>
      <c r="P42" s="799">
        <v>0.84</v>
      </c>
      <c r="Q42" s="799">
        <v>840</v>
      </c>
      <c r="S42" s="217" t="s">
        <v>702</v>
      </c>
    </row>
    <row r="43" spans="1:28" ht="13.8" thickBot="1">
      <c r="A43" s="2552" t="s">
        <v>703</v>
      </c>
      <c r="B43" s="2552"/>
      <c r="C43" s="2552"/>
      <c r="D43" s="2552"/>
      <c r="E43" s="2552"/>
      <c r="F43" s="117"/>
      <c r="G43" s="117"/>
      <c r="H43" s="117"/>
      <c r="J43" s="2594"/>
      <c r="K43" s="235" t="s">
        <v>704</v>
      </c>
      <c r="L43" s="799">
        <v>7300</v>
      </c>
      <c r="M43" s="799">
        <v>73.959999999999994</v>
      </c>
      <c r="N43" s="799">
        <v>31.64</v>
      </c>
      <c r="O43" s="799">
        <v>103.33</v>
      </c>
      <c r="P43" s="799">
        <v>2.31</v>
      </c>
      <c r="Q43" s="799">
        <v>2310</v>
      </c>
      <c r="S43" s="217" t="s">
        <v>705</v>
      </c>
    </row>
    <row r="44" spans="1:28">
      <c r="A44" s="2545" t="s">
        <v>582</v>
      </c>
      <c r="B44" s="2546"/>
      <c r="C44" s="2553" t="s">
        <v>583</v>
      </c>
      <c r="D44" s="2554"/>
      <c r="E44" s="2555"/>
      <c r="F44" s="117"/>
      <c r="G44" s="117"/>
      <c r="H44" s="117"/>
      <c r="J44" s="2594"/>
      <c r="K44" s="235" t="s">
        <v>706</v>
      </c>
      <c r="L44" s="799">
        <v>7290</v>
      </c>
      <c r="M44" s="799">
        <v>2.37</v>
      </c>
      <c r="N44" s="799">
        <v>35.65</v>
      </c>
      <c r="O44" s="799">
        <v>20.59</v>
      </c>
      <c r="P44" s="799">
        <v>2.31</v>
      </c>
      <c r="Q44" s="799">
        <v>2310</v>
      </c>
      <c r="S44" s="217" t="s">
        <v>707</v>
      </c>
    </row>
    <row r="45" spans="1:28" ht="13.8" thickBot="1">
      <c r="A45" s="2547"/>
      <c r="B45" s="2548"/>
      <c r="C45" s="223" t="s">
        <v>585</v>
      </c>
      <c r="D45" s="224" t="s">
        <v>586</v>
      </c>
      <c r="E45" s="225" t="s">
        <v>587</v>
      </c>
      <c r="F45" s="117"/>
      <c r="G45" s="117"/>
      <c r="H45" s="117"/>
      <c r="J45" s="2594"/>
      <c r="K45" s="235" t="s">
        <v>708</v>
      </c>
      <c r="L45" s="799">
        <v>3180</v>
      </c>
      <c r="M45" s="799">
        <v>1.87</v>
      </c>
      <c r="N45" s="799">
        <v>11.97</v>
      </c>
      <c r="O45" s="799">
        <v>6.46</v>
      </c>
      <c r="P45" s="799">
        <v>1.01</v>
      </c>
      <c r="Q45" s="799">
        <v>1010</v>
      </c>
      <c r="S45" s="217" t="s">
        <v>709</v>
      </c>
    </row>
    <row r="46" spans="1:28">
      <c r="A46" s="248" t="s">
        <v>384</v>
      </c>
      <c r="B46" s="249"/>
      <c r="C46" s="227">
        <v>69300</v>
      </c>
      <c r="D46" s="227">
        <v>67500</v>
      </c>
      <c r="E46" s="228">
        <v>73000</v>
      </c>
      <c r="F46" s="117"/>
      <c r="G46" s="117"/>
      <c r="H46" s="117"/>
      <c r="J46" s="2594"/>
      <c r="K46" s="235" t="s">
        <v>710</v>
      </c>
      <c r="L46" s="799">
        <v>2760</v>
      </c>
      <c r="M46" s="799">
        <v>0.06</v>
      </c>
      <c r="N46" s="799">
        <v>10.76</v>
      </c>
      <c r="O46" s="799">
        <v>5.53</v>
      </c>
      <c r="P46" s="799">
        <v>0.87</v>
      </c>
      <c r="Q46" s="799">
        <v>870</v>
      </c>
    </row>
    <row r="47" spans="1:28">
      <c r="A47" s="248" t="s">
        <v>711</v>
      </c>
      <c r="B47" s="250"/>
      <c r="C47" s="233">
        <v>71900</v>
      </c>
      <c r="D47" s="230">
        <v>70800</v>
      </c>
      <c r="E47" s="231">
        <v>73600</v>
      </c>
      <c r="F47" s="117"/>
      <c r="G47" s="117"/>
      <c r="H47" s="117"/>
      <c r="J47" s="2594"/>
      <c r="K47" s="235" t="s">
        <v>712</v>
      </c>
      <c r="L47" s="799">
        <v>5860</v>
      </c>
      <c r="M47" s="799">
        <v>35.97</v>
      </c>
      <c r="N47" s="799">
        <v>17.350000000000001</v>
      </c>
      <c r="O47" s="799">
        <v>55.96</v>
      </c>
      <c r="P47" s="799">
        <v>1.86</v>
      </c>
      <c r="Q47" s="799">
        <v>1860</v>
      </c>
      <c r="S47" s="232" t="s">
        <v>588</v>
      </c>
      <c r="T47" s="251"/>
      <c r="U47" s="251"/>
      <c r="V47" s="251"/>
      <c r="W47" s="251"/>
      <c r="X47" s="251"/>
      <c r="Y47" s="251"/>
      <c r="Z47" s="251"/>
      <c r="AA47" s="251"/>
      <c r="AB47" s="251"/>
    </row>
    <row r="48" spans="1:28">
      <c r="A48" s="248" t="s">
        <v>713</v>
      </c>
      <c r="B48" s="250"/>
      <c r="C48" s="233">
        <v>74100</v>
      </c>
      <c r="D48" s="230">
        <v>72600</v>
      </c>
      <c r="E48" s="231">
        <v>74800</v>
      </c>
      <c r="F48" s="117"/>
      <c r="G48" s="117"/>
      <c r="H48" s="117"/>
      <c r="J48" s="2594"/>
      <c r="K48" s="235" t="s">
        <v>714</v>
      </c>
      <c r="L48" s="1834">
        <v>7040</v>
      </c>
      <c r="M48" s="1834">
        <v>17.559999999999999</v>
      </c>
      <c r="N48" s="1834">
        <v>16</v>
      </c>
      <c r="O48" s="1834">
        <v>110.51</v>
      </c>
      <c r="P48" s="1834">
        <v>2.5099999999999998</v>
      </c>
      <c r="Q48" s="799">
        <v>2510</v>
      </c>
    </row>
    <row r="49" spans="1:28">
      <c r="A49" s="248" t="s">
        <v>715</v>
      </c>
      <c r="B49" s="250"/>
      <c r="C49" s="233">
        <v>77400</v>
      </c>
      <c r="D49" s="230">
        <v>75500</v>
      </c>
      <c r="E49" s="231">
        <v>78800</v>
      </c>
      <c r="F49" s="117"/>
      <c r="G49" s="117"/>
      <c r="H49" s="117"/>
      <c r="J49" s="2594"/>
      <c r="K49" s="235" t="s">
        <v>716</v>
      </c>
      <c r="L49" s="799">
        <v>9370</v>
      </c>
      <c r="M49" s="799">
        <v>158.71</v>
      </c>
      <c r="N49" s="799">
        <v>19.11</v>
      </c>
      <c r="O49" s="799">
        <v>190.74</v>
      </c>
      <c r="P49" s="799">
        <v>2.97</v>
      </c>
      <c r="Q49" s="799">
        <v>2970</v>
      </c>
      <c r="S49" s="221" t="s">
        <v>717</v>
      </c>
    </row>
    <row r="50" spans="1:28" ht="14.4">
      <c r="A50" s="252" t="s">
        <v>718</v>
      </c>
      <c r="B50" s="253"/>
      <c r="C50" s="233">
        <v>63100</v>
      </c>
      <c r="D50" s="230">
        <v>61600</v>
      </c>
      <c r="E50" s="231">
        <v>65600</v>
      </c>
      <c r="F50" s="117"/>
      <c r="G50" s="117"/>
      <c r="H50" s="117"/>
      <c r="J50" s="2595" t="s">
        <v>719</v>
      </c>
      <c r="K50" s="799" t="s">
        <v>720</v>
      </c>
      <c r="L50" s="799">
        <v>950</v>
      </c>
      <c r="M50" s="799">
        <v>0.67</v>
      </c>
      <c r="N50" s="799">
        <v>2.17</v>
      </c>
      <c r="O50" s="799">
        <v>5.61</v>
      </c>
      <c r="P50" s="799">
        <v>0.3</v>
      </c>
      <c r="Q50" s="799">
        <v>300</v>
      </c>
      <c r="S50" s="2608" t="s">
        <v>721</v>
      </c>
      <c r="T50" s="2609" t="s">
        <v>722</v>
      </c>
      <c r="U50" s="2609"/>
      <c r="V50" s="2609"/>
      <c r="W50" s="2609"/>
      <c r="X50" s="2609"/>
      <c r="Y50" s="2609"/>
      <c r="Z50" s="2609"/>
      <c r="AA50" s="2610" t="s">
        <v>723</v>
      </c>
    </row>
    <row r="51" spans="1:28" ht="14.4">
      <c r="A51" s="2556" t="s">
        <v>724</v>
      </c>
      <c r="B51" s="250" t="s">
        <v>725</v>
      </c>
      <c r="C51" s="233">
        <v>57600</v>
      </c>
      <c r="D51" s="230">
        <v>48200</v>
      </c>
      <c r="E51" s="231">
        <v>69000</v>
      </c>
      <c r="F51" s="117"/>
      <c r="G51" s="117"/>
      <c r="H51" s="117"/>
      <c r="J51" s="2594"/>
      <c r="K51" s="799" t="s">
        <v>726</v>
      </c>
      <c r="L51" s="799">
        <v>900</v>
      </c>
      <c r="M51" s="799">
        <v>0.7</v>
      </c>
      <c r="N51" s="799">
        <v>2.0299999999999998</v>
      </c>
      <c r="O51" s="799">
        <v>5.59</v>
      </c>
      <c r="P51" s="799">
        <v>0.28999999999999998</v>
      </c>
      <c r="Q51" s="799">
        <v>290</v>
      </c>
      <c r="S51" s="2608"/>
      <c r="T51" s="254" t="s">
        <v>727</v>
      </c>
      <c r="U51" s="254" t="s">
        <v>602</v>
      </c>
      <c r="V51" s="254" t="s">
        <v>603</v>
      </c>
      <c r="W51" s="254" t="s">
        <v>599</v>
      </c>
      <c r="X51" s="254" t="s">
        <v>600</v>
      </c>
      <c r="Y51" s="254" t="s">
        <v>728</v>
      </c>
      <c r="Z51" s="254" t="s">
        <v>605</v>
      </c>
      <c r="AA51" s="2610"/>
    </row>
    <row r="52" spans="1:28">
      <c r="A52" s="2557"/>
      <c r="B52" s="250" t="s">
        <v>729</v>
      </c>
      <c r="C52" s="233">
        <v>73300</v>
      </c>
      <c r="D52" s="230">
        <v>72200</v>
      </c>
      <c r="E52" s="231">
        <v>74400</v>
      </c>
      <c r="F52" s="117"/>
      <c r="G52" s="117"/>
      <c r="H52" s="117"/>
      <c r="J52" s="2594"/>
      <c r="K52" s="799" t="s">
        <v>730</v>
      </c>
      <c r="L52" s="799">
        <v>1060</v>
      </c>
      <c r="M52" s="799">
        <v>0.63</v>
      </c>
      <c r="N52" s="799">
        <v>2.27</v>
      </c>
      <c r="O52" s="799">
        <v>6.7</v>
      </c>
      <c r="P52" s="799">
        <v>0.33</v>
      </c>
      <c r="Q52" s="799">
        <v>330</v>
      </c>
      <c r="S52" s="217" t="s">
        <v>609</v>
      </c>
      <c r="T52" s="217">
        <v>5450</v>
      </c>
      <c r="U52" s="217">
        <v>0.12</v>
      </c>
      <c r="V52" s="217">
        <v>0.2</v>
      </c>
      <c r="W52" s="217">
        <v>25.86</v>
      </c>
      <c r="X52" s="217">
        <v>14.8</v>
      </c>
      <c r="Y52" s="217">
        <v>1.1200000000000001</v>
      </c>
      <c r="Z52" s="217">
        <v>1.72</v>
      </c>
      <c r="AA52" s="217">
        <v>1720</v>
      </c>
      <c r="AB52" s="2596" t="s">
        <v>731</v>
      </c>
    </row>
    <row r="53" spans="1:28">
      <c r="A53" s="2557"/>
      <c r="B53" s="250" t="s">
        <v>732</v>
      </c>
      <c r="C53" s="233">
        <v>73300</v>
      </c>
      <c r="D53" s="230">
        <v>72200</v>
      </c>
      <c r="E53" s="231">
        <v>74400</v>
      </c>
      <c r="F53" s="117"/>
      <c r="G53" s="117"/>
      <c r="H53" s="117"/>
      <c r="J53" s="2594"/>
      <c r="K53" s="799" t="s">
        <v>733</v>
      </c>
      <c r="L53" s="799">
        <v>990</v>
      </c>
      <c r="M53" s="799">
        <v>0.56000000000000005</v>
      </c>
      <c r="N53" s="799">
        <v>2.69</v>
      </c>
      <c r="O53" s="799">
        <v>6.18</v>
      </c>
      <c r="P53" s="799">
        <v>0.31</v>
      </c>
      <c r="Q53" s="799">
        <v>310</v>
      </c>
      <c r="S53" s="217" t="s">
        <v>612</v>
      </c>
      <c r="T53" s="217">
        <v>4760</v>
      </c>
      <c r="U53" s="217">
        <v>0.63</v>
      </c>
      <c r="V53" s="217">
        <v>0.2</v>
      </c>
      <c r="W53" s="217">
        <v>19.46</v>
      </c>
      <c r="X53" s="217">
        <v>28.3</v>
      </c>
      <c r="Y53" s="217">
        <v>5.67</v>
      </c>
      <c r="Z53" s="217">
        <v>1.51</v>
      </c>
      <c r="AA53" s="217">
        <v>1510</v>
      </c>
      <c r="AB53" s="2596"/>
    </row>
    <row r="54" spans="1:28" ht="27" thickBot="1">
      <c r="A54" s="2558"/>
      <c r="B54" s="255" t="s">
        <v>734</v>
      </c>
      <c r="C54" s="233">
        <v>73300</v>
      </c>
      <c r="D54" s="230">
        <v>72200</v>
      </c>
      <c r="E54" s="231">
        <v>74400</v>
      </c>
      <c r="F54" s="117"/>
      <c r="G54" s="117"/>
      <c r="H54" s="117"/>
      <c r="J54" s="2594"/>
      <c r="K54" s="799" t="s">
        <v>735</v>
      </c>
      <c r="L54" s="799">
        <v>2390</v>
      </c>
      <c r="M54" s="799">
        <v>1.43</v>
      </c>
      <c r="N54" s="799">
        <v>5.75</v>
      </c>
      <c r="O54" s="799">
        <v>13.84</v>
      </c>
      <c r="P54" s="799">
        <v>0.76</v>
      </c>
      <c r="Q54" s="799">
        <v>760</v>
      </c>
      <c r="S54" s="217" t="s">
        <v>615</v>
      </c>
      <c r="T54" s="217">
        <v>2310</v>
      </c>
      <c r="U54" s="217">
        <v>0.06</v>
      </c>
      <c r="V54" s="217">
        <v>0.1</v>
      </c>
      <c r="W54" s="217">
        <v>8.73</v>
      </c>
      <c r="X54" s="217">
        <v>6.35</v>
      </c>
      <c r="Y54" s="217">
        <v>0.54</v>
      </c>
      <c r="Z54" s="217">
        <v>0.73</v>
      </c>
      <c r="AA54" s="217">
        <v>730</v>
      </c>
      <c r="AB54" s="2596"/>
    </row>
    <row r="55" spans="1:28">
      <c r="A55" s="248" t="s">
        <v>736</v>
      </c>
      <c r="B55" s="249"/>
      <c r="C55" s="227">
        <v>56100</v>
      </c>
      <c r="D55" s="227">
        <v>54300</v>
      </c>
      <c r="E55" s="228">
        <v>58300</v>
      </c>
      <c r="F55" s="117"/>
      <c r="G55" s="117"/>
      <c r="H55" s="117"/>
      <c r="J55" s="2594"/>
      <c r="K55" s="799" t="s">
        <v>737</v>
      </c>
      <c r="L55" s="799">
        <v>2520</v>
      </c>
      <c r="M55" s="799">
        <v>1.52</v>
      </c>
      <c r="N55" s="799">
        <v>7.4</v>
      </c>
      <c r="O55" s="799">
        <v>13.07</v>
      </c>
      <c r="P55" s="799">
        <v>0.8</v>
      </c>
      <c r="Q55" s="799">
        <v>800</v>
      </c>
      <c r="S55" s="217" t="s">
        <v>616</v>
      </c>
      <c r="T55" s="217">
        <v>2440</v>
      </c>
      <c r="U55" s="217">
        <v>0.06</v>
      </c>
      <c r="V55" s="217">
        <v>0.1</v>
      </c>
      <c r="W55" s="217">
        <v>9.01</v>
      </c>
      <c r="X55" s="217">
        <v>6.19</v>
      </c>
      <c r="Y55" s="217">
        <v>0.51</v>
      </c>
      <c r="Z55" s="217">
        <v>0.77</v>
      </c>
      <c r="AA55" s="217">
        <v>770</v>
      </c>
      <c r="AB55" s="2596"/>
    </row>
    <row r="56" spans="1:28">
      <c r="F56" s="117"/>
      <c r="G56" s="117"/>
      <c r="H56" s="117"/>
      <c r="J56" s="2594"/>
      <c r="K56" s="799" t="s">
        <v>738</v>
      </c>
      <c r="L56" s="799">
        <v>870</v>
      </c>
      <c r="M56" s="799">
        <v>0.56999999999999995</v>
      </c>
      <c r="N56" s="799">
        <v>2.99</v>
      </c>
      <c r="O56" s="799">
        <v>5.35</v>
      </c>
      <c r="P56" s="799">
        <v>0.27</v>
      </c>
      <c r="Q56" s="799">
        <v>280</v>
      </c>
      <c r="S56" s="217" t="s">
        <v>621</v>
      </c>
      <c r="T56" s="217">
        <v>3020</v>
      </c>
      <c r="U56" s="217">
        <v>0.14000000000000001</v>
      </c>
      <c r="V56" s="217">
        <v>0.1</v>
      </c>
      <c r="W56" s="217">
        <v>16.72</v>
      </c>
      <c r="X56" s="217">
        <v>7.55</v>
      </c>
      <c r="Y56" s="217">
        <v>1.27</v>
      </c>
      <c r="Z56" s="217">
        <v>0.96</v>
      </c>
      <c r="AA56" s="217">
        <v>960</v>
      </c>
      <c r="AB56" s="2596"/>
    </row>
    <row r="57" spans="1:28" ht="13.8" thickBot="1">
      <c r="A57" s="99" t="s">
        <v>739</v>
      </c>
      <c r="F57" s="117"/>
      <c r="G57" s="117"/>
      <c r="H57" s="117"/>
      <c r="J57" s="2594"/>
      <c r="K57" s="799" t="s">
        <v>740</v>
      </c>
      <c r="L57" s="799">
        <v>2160</v>
      </c>
      <c r="M57" s="799">
        <v>1.37</v>
      </c>
      <c r="N57" s="799">
        <v>5.63</v>
      </c>
      <c r="O57" s="799">
        <v>8.8800000000000008</v>
      </c>
      <c r="P57" s="799">
        <v>0.68</v>
      </c>
      <c r="Q57" s="799">
        <v>680</v>
      </c>
      <c r="S57" s="217" t="s">
        <v>624</v>
      </c>
      <c r="T57" s="217">
        <v>7050</v>
      </c>
      <c r="U57" s="217">
        <v>0.13</v>
      </c>
      <c r="V57" s="217">
        <v>0.2</v>
      </c>
      <c r="W57" s="217">
        <v>35.57</v>
      </c>
      <c r="X57" s="217">
        <v>16.2</v>
      </c>
      <c r="Y57" s="217">
        <v>1.1499999999999999</v>
      </c>
      <c r="Z57" s="217">
        <v>2.23</v>
      </c>
      <c r="AA57" s="217">
        <v>2230</v>
      </c>
      <c r="AB57" s="2596"/>
    </row>
    <row r="58" spans="1:28">
      <c r="A58" s="2545" t="s">
        <v>582</v>
      </c>
      <c r="B58" s="2546"/>
      <c r="C58" s="2544" t="s">
        <v>741</v>
      </c>
      <c r="D58" s="2544"/>
      <c r="F58" s="117"/>
      <c r="G58" s="117"/>
      <c r="H58" s="117"/>
      <c r="J58" s="2594"/>
      <c r="K58" s="799" t="s">
        <v>742</v>
      </c>
      <c r="L58" s="799">
        <v>1890</v>
      </c>
      <c r="M58" s="799">
        <v>0.31</v>
      </c>
      <c r="N58" s="799">
        <v>5.58</v>
      </c>
      <c r="O58" s="799">
        <v>8.42</v>
      </c>
      <c r="P58" s="799">
        <v>0.6</v>
      </c>
      <c r="Q58" s="799">
        <v>600</v>
      </c>
      <c r="S58" s="217" t="s">
        <v>626</v>
      </c>
      <c r="T58" s="217">
        <v>5890</v>
      </c>
      <c r="U58" s="217">
        <v>0.42</v>
      </c>
      <c r="V58" s="217">
        <v>0.2</v>
      </c>
      <c r="W58" s="217">
        <v>28.31</v>
      </c>
      <c r="X58" s="217">
        <v>26.19</v>
      </c>
      <c r="Y58" s="217">
        <v>3.78</v>
      </c>
      <c r="Z58" s="217">
        <v>1.86</v>
      </c>
      <c r="AA58" s="217">
        <v>1860</v>
      </c>
      <c r="AB58" s="2596"/>
    </row>
    <row r="59" spans="1:28">
      <c r="A59" s="2547"/>
      <c r="B59" s="2548"/>
      <c r="C59" s="119" t="s">
        <v>743</v>
      </c>
      <c r="D59" s="119" t="s">
        <v>744</v>
      </c>
      <c r="F59" s="117"/>
      <c r="G59" s="117"/>
      <c r="H59" s="117"/>
      <c r="J59" s="2594"/>
      <c r="K59" s="799" t="s">
        <v>745</v>
      </c>
      <c r="L59" s="799">
        <v>1920</v>
      </c>
      <c r="M59" s="799">
        <v>1.68</v>
      </c>
      <c r="N59" s="799">
        <v>7.11</v>
      </c>
      <c r="O59" s="799">
        <v>6.81</v>
      </c>
      <c r="P59" s="799">
        <v>0.61</v>
      </c>
      <c r="Q59" s="799">
        <v>610</v>
      </c>
      <c r="S59" s="217" t="s">
        <v>628</v>
      </c>
      <c r="T59" s="217">
        <v>6380</v>
      </c>
      <c r="U59" s="217">
        <v>0.39</v>
      </c>
      <c r="V59" s="217">
        <v>0.2</v>
      </c>
      <c r="W59" s="217">
        <v>34.81</v>
      </c>
      <c r="X59" s="217">
        <v>25.23</v>
      </c>
      <c r="Y59" s="217">
        <v>3.51</v>
      </c>
      <c r="Z59" s="217">
        <v>2.02</v>
      </c>
      <c r="AA59" s="217">
        <v>2020</v>
      </c>
      <c r="AB59" s="2596"/>
    </row>
    <row r="60" spans="1:28">
      <c r="A60" s="2158" t="s">
        <v>746</v>
      </c>
      <c r="B60" s="2549"/>
      <c r="C60" s="256">
        <v>7</v>
      </c>
      <c r="D60" s="256">
        <v>2</v>
      </c>
      <c r="F60" s="117"/>
      <c r="G60" s="117"/>
      <c r="H60" s="117"/>
      <c r="J60" s="807" t="s">
        <v>747</v>
      </c>
      <c r="K60" s="808" t="s">
        <v>748</v>
      </c>
      <c r="L60" s="808">
        <v>1060</v>
      </c>
      <c r="M60" s="808">
        <v>3.35</v>
      </c>
      <c r="N60" s="808">
        <v>0.74</v>
      </c>
      <c r="O60" s="808">
        <v>34.07</v>
      </c>
      <c r="P60" s="808">
        <v>0.34</v>
      </c>
      <c r="Q60" s="808">
        <v>340</v>
      </c>
      <c r="S60" s="217" t="s">
        <v>631</v>
      </c>
      <c r="T60" s="217">
        <v>10660</v>
      </c>
      <c r="U60" s="217">
        <v>0.01</v>
      </c>
      <c r="V60" s="217">
        <v>0.3</v>
      </c>
      <c r="W60" s="217">
        <v>64.45</v>
      </c>
      <c r="X60" s="217">
        <v>15.31</v>
      </c>
      <c r="Y60" s="217">
        <v>0.13</v>
      </c>
      <c r="Z60" s="217">
        <v>3.37</v>
      </c>
      <c r="AA60" s="217">
        <v>3370</v>
      </c>
      <c r="AB60" s="2596"/>
    </row>
    <row r="61" spans="1:28">
      <c r="A61" s="2550"/>
      <c r="B61" s="2551"/>
      <c r="C61" s="257" t="s">
        <v>749</v>
      </c>
      <c r="D61" s="258" t="s">
        <v>750</v>
      </c>
      <c r="F61" s="117"/>
      <c r="G61" s="117"/>
      <c r="H61" s="117"/>
      <c r="J61" s="2575" t="s">
        <v>751</v>
      </c>
      <c r="K61" s="799" t="s">
        <v>752</v>
      </c>
      <c r="L61" s="799">
        <v>230</v>
      </c>
      <c r="M61" s="799">
        <v>0.64</v>
      </c>
      <c r="N61" s="799">
        <v>0.3</v>
      </c>
      <c r="O61" s="799">
        <v>2.97</v>
      </c>
      <c r="P61" s="799">
        <v>7.0000000000000007E-2</v>
      </c>
      <c r="Q61" s="799">
        <v>70</v>
      </c>
      <c r="S61" s="259">
        <v>707</v>
      </c>
      <c r="T61" s="217">
        <v>5890</v>
      </c>
      <c r="U61" s="217">
        <v>9.75</v>
      </c>
      <c r="V61" s="217">
        <v>0.2</v>
      </c>
      <c r="W61" s="217">
        <v>10.96</v>
      </c>
      <c r="X61" s="217">
        <v>92.37</v>
      </c>
      <c r="Y61" s="217">
        <v>87.71</v>
      </c>
      <c r="Z61" s="217">
        <v>1.86</v>
      </c>
      <c r="AA61" s="217">
        <v>1860</v>
      </c>
      <c r="AB61" s="2596"/>
    </row>
    <row r="62" spans="1:28">
      <c r="A62" s="99" t="s">
        <v>753</v>
      </c>
      <c r="F62" s="117"/>
      <c r="G62" s="117"/>
      <c r="H62" s="117"/>
      <c r="J62" s="2576"/>
      <c r="K62" s="799" t="s">
        <v>754</v>
      </c>
      <c r="L62" s="799">
        <v>640</v>
      </c>
      <c r="M62" s="799">
        <v>0</v>
      </c>
      <c r="N62" s="799">
        <v>1.51</v>
      </c>
      <c r="O62" s="799">
        <v>2.2400000000000002</v>
      </c>
      <c r="P62" s="799">
        <v>0.2</v>
      </c>
      <c r="Q62" s="799">
        <v>200</v>
      </c>
      <c r="S62" s="259">
        <v>717</v>
      </c>
      <c r="T62" s="217">
        <v>2140</v>
      </c>
      <c r="U62" s="217">
        <v>0.01</v>
      </c>
      <c r="V62" s="217">
        <v>0.1</v>
      </c>
      <c r="W62" s="217">
        <v>6.68</v>
      </c>
      <c r="X62" s="217">
        <v>6.78</v>
      </c>
      <c r="Y62" s="217">
        <v>0.05</v>
      </c>
      <c r="Z62" s="217">
        <v>0.68</v>
      </c>
      <c r="AA62" s="217">
        <v>680</v>
      </c>
      <c r="AB62" s="2596"/>
    </row>
    <row r="63" spans="1:28">
      <c r="F63" s="117"/>
      <c r="G63" s="117"/>
      <c r="H63" s="117"/>
      <c r="J63" s="2577"/>
      <c r="K63" s="799" t="s">
        <v>755</v>
      </c>
      <c r="L63" s="799">
        <v>620</v>
      </c>
      <c r="M63" s="799">
        <v>0.28999999999999998</v>
      </c>
      <c r="N63" s="799">
        <v>1.82</v>
      </c>
      <c r="O63" s="799">
        <v>2.33</v>
      </c>
      <c r="P63" s="799">
        <v>0.2</v>
      </c>
      <c r="Q63" s="799">
        <v>200</v>
      </c>
      <c r="S63" s="217" t="s">
        <v>640</v>
      </c>
      <c r="T63" s="217">
        <v>3970</v>
      </c>
      <c r="U63" s="217">
        <v>0.69</v>
      </c>
      <c r="V63" s="217">
        <v>0.1</v>
      </c>
      <c r="W63" s="217">
        <v>9.23</v>
      </c>
      <c r="X63" s="217">
        <v>24.44</v>
      </c>
      <c r="Y63" s="217">
        <v>6.25</v>
      </c>
      <c r="Z63" s="217">
        <v>1.26</v>
      </c>
      <c r="AA63" s="217">
        <v>1260</v>
      </c>
      <c r="AB63" s="2596"/>
    </row>
    <row r="64" spans="1:28">
      <c r="F64" s="117"/>
      <c r="G64" s="117"/>
      <c r="H64" s="117"/>
      <c r="S64" s="217" t="s">
        <v>643</v>
      </c>
      <c r="T64" s="217">
        <v>4610</v>
      </c>
      <c r="U64" s="217">
        <v>0.81</v>
      </c>
      <c r="V64" s="217">
        <v>0.1</v>
      </c>
      <c r="W64" s="217">
        <v>11.97</v>
      </c>
      <c r="X64" s="217">
        <v>27.16</v>
      </c>
      <c r="Y64" s="217">
        <v>7.32</v>
      </c>
      <c r="Z64" s="217">
        <v>1.46</v>
      </c>
      <c r="AA64" s="217">
        <v>1460</v>
      </c>
      <c r="AB64" s="2596"/>
    </row>
    <row r="65" spans="1:28">
      <c r="F65" s="117"/>
      <c r="G65" s="117"/>
      <c r="H65" s="117"/>
      <c r="S65" s="217" t="s">
        <v>646</v>
      </c>
      <c r="T65" s="217">
        <v>2740</v>
      </c>
      <c r="U65" s="217">
        <v>0.45</v>
      </c>
      <c r="V65" s="217">
        <v>0.1</v>
      </c>
      <c r="W65" s="217">
        <v>6.74</v>
      </c>
      <c r="X65" s="217">
        <v>16.04</v>
      </c>
      <c r="Y65" s="217">
        <v>4.0599999999999996</v>
      </c>
      <c r="Z65" s="217">
        <v>0.87</v>
      </c>
      <c r="AA65" s="217">
        <v>870</v>
      </c>
      <c r="AB65" s="2596"/>
    </row>
    <row r="66" spans="1:28" s="232" customFormat="1">
      <c r="A66" s="217"/>
      <c r="B66" s="217"/>
      <c r="C66" s="217"/>
      <c r="D66" s="217"/>
      <c r="E66" s="217"/>
      <c r="F66" s="217"/>
      <c r="G66" s="217"/>
      <c r="H66" s="217"/>
      <c r="I66" s="217"/>
      <c r="S66" s="217" t="s">
        <v>649</v>
      </c>
      <c r="T66" s="217">
        <v>2480</v>
      </c>
      <c r="U66" s="217">
        <v>0.08</v>
      </c>
      <c r="V66" s="217">
        <v>0.1</v>
      </c>
      <c r="W66" s="217">
        <v>7.19</v>
      </c>
      <c r="X66" s="217">
        <v>13.03</v>
      </c>
      <c r="Y66" s="217">
        <v>0.75</v>
      </c>
      <c r="Z66" s="217">
        <v>0.78</v>
      </c>
      <c r="AA66" s="217">
        <v>780</v>
      </c>
      <c r="AB66" s="2596"/>
    </row>
    <row r="67" spans="1:28">
      <c r="I67" s="232"/>
      <c r="S67" s="217" t="s">
        <v>652</v>
      </c>
      <c r="T67" s="217">
        <v>2280</v>
      </c>
      <c r="U67" s="217">
        <v>0.1</v>
      </c>
      <c r="V67" s="217">
        <v>0.1</v>
      </c>
      <c r="W67" s="217">
        <v>7.66</v>
      </c>
      <c r="X67" s="217">
        <v>8.65</v>
      </c>
      <c r="Y67" s="217">
        <v>0.91</v>
      </c>
      <c r="Z67" s="217">
        <v>0.72</v>
      </c>
      <c r="AA67" s="217">
        <v>720</v>
      </c>
      <c r="AB67" s="2596"/>
    </row>
    <row r="68" spans="1:28" s="251" customFormat="1">
      <c r="A68" s="232"/>
      <c r="B68" s="232"/>
      <c r="C68" s="232"/>
      <c r="D68" s="232"/>
      <c r="E68" s="232"/>
      <c r="F68" s="232"/>
      <c r="G68" s="232"/>
      <c r="H68" s="232"/>
      <c r="I68" s="217"/>
      <c r="S68" s="217" t="s">
        <v>656</v>
      </c>
      <c r="T68" s="217">
        <v>2460</v>
      </c>
      <c r="U68" s="217">
        <v>0.09</v>
      </c>
      <c r="V68" s="217">
        <v>0.1</v>
      </c>
      <c r="W68" s="217">
        <v>9.1199999999999992</v>
      </c>
      <c r="X68" s="217">
        <v>8</v>
      </c>
      <c r="Y68" s="217">
        <v>0.78</v>
      </c>
      <c r="Z68" s="217">
        <v>0.78</v>
      </c>
      <c r="AA68" s="217">
        <v>780</v>
      </c>
      <c r="AB68" s="2596"/>
    </row>
    <row r="69" spans="1:28">
      <c r="I69" s="251"/>
      <c r="S69" s="217" t="s">
        <v>659</v>
      </c>
      <c r="T69" s="217">
        <v>2780</v>
      </c>
      <c r="U69" s="217">
        <v>7.0000000000000007E-2</v>
      </c>
      <c r="V69" s="217">
        <v>0.1</v>
      </c>
      <c r="W69" s="217">
        <v>12.3</v>
      </c>
      <c r="X69" s="217">
        <v>7.07</v>
      </c>
      <c r="Y69" s="217">
        <v>0.65</v>
      </c>
      <c r="Z69" s="217">
        <v>0.88</v>
      </c>
      <c r="AA69" s="217">
        <v>880</v>
      </c>
      <c r="AB69" s="2596"/>
    </row>
    <row r="70" spans="1:28">
      <c r="A70" s="251"/>
      <c r="B70" s="251"/>
      <c r="C70" s="251"/>
      <c r="D70" s="251"/>
      <c r="E70" s="251"/>
      <c r="F70" s="251"/>
      <c r="G70" s="251"/>
      <c r="H70" s="251"/>
      <c r="S70" s="217" t="s">
        <v>662</v>
      </c>
      <c r="T70" s="217">
        <v>10140</v>
      </c>
      <c r="U70" s="217">
        <v>4.84</v>
      </c>
      <c r="V70" s="217">
        <v>0.3</v>
      </c>
      <c r="W70" s="217">
        <v>49.17</v>
      </c>
      <c r="X70" s="217">
        <v>114.59</v>
      </c>
      <c r="Y70" s="217">
        <v>43.59</v>
      </c>
      <c r="Z70" s="217">
        <v>3.21</v>
      </c>
      <c r="AA70" s="217">
        <v>3210</v>
      </c>
      <c r="AB70" s="2596"/>
    </row>
    <row r="71" spans="1:28">
      <c r="S71" s="217" t="s">
        <v>665</v>
      </c>
      <c r="T71" s="217">
        <v>11370</v>
      </c>
      <c r="U71" s="217">
        <v>1.82</v>
      </c>
      <c r="V71" s="217">
        <v>0.4</v>
      </c>
      <c r="W71" s="217">
        <v>49.52</v>
      </c>
      <c r="X71" s="217">
        <v>79.78</v>
      </c>
      <c r="Y71" s="217">
        <v>16.41</v>
      </c>
      <c r="Z71" s="217">
        <v>3.6</v>
      </c>
      <c r="AA71" s="217">
        <v>3600</v>
      </c>
      <c r="AB71" s="2596"/>
    </row>
    <row r="72" spans="1:28">
      <c r="S72" s="217" t="s">
        <v>667</v>
      </c>
      <c r="T72" s="217">
        <v>11080</v>
      </c>
      <c r="U72" s="217">
        <v>0.27</v>
      </c>
      <c r="V72" s="217">
        <v>0.4</v>
      </c>
      <c r="W72" s="217">
        <v>65</v>
      </c>
      <c r="X72" s="217">
        <v>17.84</v>
      </c>
      <c r="Y72" s="217">
        <v>2.46</v>
      </c>
      <c r="Z72" s="217">
        <v>3.51</v>
      </c>
      <c r="AA72" s="217">
        <v>3510</v>
      </c>
      <c r="AB72" s="2596"/>
    </row>
    <row r="73" spans="1:28">
      <c r="S73" s="217" t="s">
        <v>670</v>
      </c>
      <c r="T73" s="217">
        <v>10240</v>
      </c>
      <c r="U73" s="217">
        <v>0.22</v>
      </c>
      <c r="V73" s="217">
        <v>0.3</v>
      </c>
      <c r="W73" s="217">
        <v>42.88</v>
      </c>
      <c r="X73" s="217">
        <v>26.72</v>
      </c>
      <c r="Y73" s="217">
        <v>2.02</v>
      </c>
      <c r="Z73" s="217">
        <v>3.24</v>
      </c>
      <c r="AA73" s="217">
        <v>3240</v>
      </c>
      <c r="AB73" s="2596"/>
    </row>
    <row r="74" spans="1:28">
      <c r="S74" s="217" t="s">
        <v>673</v>
      </c>
      <c r="T74" s="217">
        <v>4320</v>
      </c>
      <c r="U74" s="217">
        <v>0.02</v>
      </c>
      <c r="V74" s="217">
        <v>0.1</v>
      </c>
      <c r="W74" s="217">
        <v>23.43</v>
      </c>
      <c r="X74" s="217">
        <v>8.08</v>
      </c>
      <c r="Y74" s="217">
        <v>0.2</v>
      </c>
      <c r="Z74" s="217">
        <v>1.37</v>
      </c>
      <c r="AA74" s="217">
        <v>1370</v>
      </c>
      <c r="AB74" s="2596"/>
    </row>
    <row r="75" spans="1:28">
      <c r="S75" s="217" t="s">
        <v>678</v>
      </c>
      <c r="T75" s="217">
        <v>4630</v>
      </c>
      <c r="U75" s="217">
        <v>0.01</v>
      </c>
      <c r="V75" s="217">
        <v>0.1</v>
      </c>
      <c r="W75" s="217">
        <v>17.850000000000001</v>
      </c>
      <c r="X75" s="217">
        <v>11.62</v>
      </c>
      <c r="Y75" s="217">
        <v>0.1</v>
      </c>
      <c r="Z75" s="217">
        <v>1.46</v>
      </c>
      <c r="AA75" s="217">
        <v>1460</v>
      </c>
      <c r="AB75" s="2596"/>
    </row>
    <row r="76" spans="1:28">
      <c r="S76" s="217" t="s">
        <v>686</v>
      </c>
      <c r="T76" s="217">
        <v>4620</v>
      </c>
      <c r="U76" s="217">
        <v>0.33</v>
      </c>
      <c r="V76" s="217">
        <v>0.1</v>
      </c>
      <c r="W76" s="217">
        <v>23.76</v>
      </c>
      <c r="X76" s="217">
        <v>14.8</v>
      </c>
      <c r="Y76" s="217">
        <v>2.99</v>
      </c>
      <c r="Z76" s="217">
        <v>1.46</v>
      </c>
      <c r="AA76" s="217">
        <v>1460</v>
      </c>
      <c r="AB76" s="2596"/>
    </row>
    <row r="77" spans="1:28">
      <c r="S77" s="217" t="s">
        <v>689</v>
      </c>
      <c r="T77" s="217">
        <v>5610</v>
      </c>
      <c r="U77" s="217">
        <v>0.12</v>
      </c>
      <c r="V77" s="217">
        <v>0.2</v>
      </c>
      <c r="W77" s="217">
        <v>28.19</v>
      </c>
      <c r="X77" s="217">
        <v>14.47</v>
      </c>
      <c r="Y77" s="217">
        <v>1.07</v>
      </c>
      <c r="Z77" s="217">
        <v>1.77</v>
      </c>
      <c r="AA77" s="217">
        <v>1780</v>
      </c>
      <c r="AB77" s="2596"/>
    </row>
    <row r="78" spans="1:28">
      <c r="S78" s="217" t="s">
        <v>692</v>
      </c>
      <c r="T78" s="217">
        <v>5520</v>
      </c>
      <c r="U78" s="217">
        <v>0.1</v>
      </c>
      <c r="V78" s="217">
        <v>0.2</v>
      </c>
      <c r="W78" s="217">
        <v>24.8</v>
      </c>
      <c r="X78" s="217">
        <v>12.37</v>
      </c>
      <c r="Y78" s="217">
        <v>0.88</v>
      </c>
      <c r="Z78" s="217">
        <v>1.75</v>
      </c>
      <c r="AA78" s="217">
        <v>1750</v>
      </c>
      <c r="AB78" s="2596"/>
    </row>
    <row r="79" spans="1:28">
      <c r="S79" s="217" t="s">
        <v>695</v>
      </c>
      <c r="T79" s="217">
        <v>8100</v>
      </c>
      <c r="U79" s="217">
        <v>7.0000000000000007E-2</v>
      </c>
      <c r="V79" s="217">
        <v>0.3</v>
      </c>
      <c r="W79" s="217">
        <v>52.81</v>
      </c>
      <c r="X79" s="217">
        <v>12.76</v>
      </c>
      <c r="Y79" s="217">
        <v>0.59</v>
      </c>
      <c r="Z79" s="217">
        <v>2.56</v>
      </c>
      <c r="AA79" s="217">
        <v>2560</v>
      </c>
      <c r="AB79" s="2596"/>
    </row>
    <row r="80" spans="1:28">
      <c r="S80" s="217" t="s">
        <v>696</v>
      </c>
      <c r="T80" s="217">
        <v>7290</v>
      </c>
      <c r="U80" s="217">
        <v>0.24</v>
      </c>
      <c r="V80" s="217">
        <v>0.2</v>
      </c>
      <c r="W80" s="217">
        <v>35.56</v>
      </c>
      <c r="X80" s="217">
        <v>20.59</v>
      </c>
      <c r="Y80" s="217">
        <v>2.13</v>
      </c>
      <c r="Z80" s="217">
        <v>2.31</v>
      </c>
      <c r="AA80" s="217">
        <v>2310</v>
      </c>
      <c r="AB80" s="2596"/>
    </row>
    <row r="81" spans="19:28">
      <c r="S81" s="217" t="s">
        <v>698</v>
      </c>
      <c r="T81" s="217">
        <v>5360</v>
      </c>
      <c r="U81" s="217">
        <v>0.15</v>
      </c>
      <c r="V81" s="217">
        <v>0.2</v>
      </c>
      <c r="W81" s="217">
        <v>15.62</v>
      </c>
      <c r="X81" s="217">
        <v>26.31</v>
      </c>
      <c r="Y81" s="217">
        <v>1.36</v>
      </c>
      <c r="Z81" s="217">
        <v>1.7</v>
      </c>
      <c r="AA81" s="217">
        <v>1700</v>
      </c>
      <c r="AB81" s="2596"/>
    </row>
    <row r="82" spans="19:28">
      <c r="S82" s="217" t="s">
        <v>701</v>
      </c>
      <c r="T82" s="217">
        <v>2650</v>
      </c>
      <c r="U82" s="217">
        <v>0.46</v>
      </c>
      <c r="V82" s="217">
        <v>0.1</v>
      </c>
      <c r="W82" s="217">
        <v>6.16</v>
      </c>
      <c r="X82" s="217">
        <v>16.29</v>
      </c>
      <c r="Y82" s="217">
        <v>4.17</v>
      </c>
      <c r="Z82" s="217">
        <v>0.84</v>
      </c>
      <c r="AA82" s="217">
        <v>840</v>
      </c>
      <c r="AB82" s="2596"/>
    </row>
    <row r="83" spans="19:28">
      <c r="S83" s="217" t="s">
        <v>704</v>
      </c>
      <c r="T83" s="217">
        <v>7300</v>
      </c>
      <c r="U83" s="217">
        <v>7.4</v>
      </c>
      <c r="V83" s="217">
        <v>0.2</v>
      </c>
      <c r="W83" s="217">
        <v>31.64</v>
      </c>
      <c r="X83" s="217">
        <v>103.33</v>
      </c>
      <c r="Y83" s="217">
        <v>66.56</v>
      </c>
      <c r="Z83" s="217">
        <v>2.31</v>
      </c>
      <c r="AA83" s="217">
        <v>2310</v>
      </c>
      <c r="AB83" s="2596"/>
    </row>
    <row r="84" spans="19:28">
      <c r="S84" s="217" t="s">
        <v>706</v>
      </c>
      <c r="T84" s="217">
        <v>7290</v>
      </c>
      <c r="U84" s="217">
        <v>0.24</v>
      </c>
      <c r="V84" s="217">
        <v>0.2</v>
      </c>
      <c r="W84" s="217">
        <v>35.65</v>
      </c>
      <c r="X84" s="217">
        <v>20.59</v>
      </c>
      <c r="Y84" s="217">
        <v>2.13</v>
      </c>
      <c r="Z84" s="217">
        <v>2.31</v>
      </c>
      <c r="AA84" s="217">
        <v>2310</v>
      </c>
      <c r="AB84" s="2596"/>
    </row>
    <row r="85" spans="19:28">
      <c r="S85" s="217" t="s">
        <v>708</v>
      </c>
      <c r="T85" s="217">
        <v>3180</v>
      </c>
      <c r="U85" s="217">
        <v>0.19</v>
      </c>
      <c r="V85" s="217">
        <v>0.1</v>
      </c>
      <c r="W85" s="217">
        <v>11.97</v>
      </c>
      <c r="X85" s="217">
        <v>6.46</v>
      </c>
      <c r="Y85" s="217">
        <v>1.69</v>
      </c>
      <c r="Z85" s="217">
        <v>1.01</v>
      </c>
      <c r="AA85" s="217">
        <v>1010</v>
      </c>
      <c r="AB85" s="2596"/>
    </row>
    <row r="86" spans="19:28">
      <c r="S86" s="217" t="s">
        <v>710</v>
      </c>
      <c r="T86" s="217">
        <v>2760</v>
      </c>
      <c r="U86" s="217">
        <v>0.01</v>
      </c>
      <c r="V86" s="217">
        <v>0.1</v>
      </c>
      <c r="W86" s="217">
        <v>10.76</v>
      </c>
      <c r="X86" s="217">
        <v>5.53</v>
      </c>
      <c r="Y86" s="217">
        <v>0.06</v>
      </c>
      <c r="Z86" s="217">
        <v>0.87</v>
      </c>
      <c r="AA86" s="217">
        <v>870</v>
      </c>
      <c r="AB86" s="2596"/>
    </row>
    <row r="87" spans="19:28">
      <c r="S87" s="217" t="s">
        <v>712</v>
      </c>
      <c r="T87" s="217">
        <v>2930</v>
      </c>
      <c r="U87" s="217">
        <v>1.8</v>
      </c>
      <c r="V87" s="217">
        <v>0.1</v>
      </c>
      <c r="W87" s="217">
        <v>8.68</v>
      </c>
      <c r="X87" s="217">
        <v>27.98</v>
      </c>
      <c r="Y87" s="217">
        <v>16.190000000000001</v>
      </c>
      <c r="Z87" s="217">
        <v>0.93</v>
      </c>
      <c r="AA87" s="217">
        <v>930</v>
      </c>
      <c r="AB87" s="2596"/>
    </row>
    <row r="88" spans="19:28">
      <c r="S88" s="217" t="s">
        <v>714</v>
      </c>
      <c r="T88" s="217">
        <v>5960</v>
      </c>
      <c r="U88" s="217">
        <v>1.32</v>
      </c>
      <c r="V88" s="217">
        <v>0.2</v>
      </c>
      <c r="W88" s="217">
        <v>12</v>
      </c>
      <c r="X88" s="217">
        <v>82.88</v>
      </c>
      <c r="Y88" s="217">
        <v>11.85</v>
      </c>
      <c r="Z88" s="217">
        <v>1.89</v>
      </c>
      <c r="AA88" s="217">
        <v>1890</v>
      </c>
      <c r="AB88" s="2596"/>
    </row>
    <row r="89" spans="19:28">
      <c r="S89" s="260" t="s">
        <v>716</v>
      </c>
      <c r="T89" s="260">
        <v>7030</v>
      </c>
      <c r="U89" s="260">
        <v>11.9</v>
      </c>
      <c r="V89" s="260">
        <v>0.2</v>
      </c>
      <c r="W89" s="260">
        <v>14.33</v>
      </c>
      <c r="X89" s="260">
        <v>143.05000000000001</v>
      </c>
      <c r="Y89" s="260">
        <v>107.13</v>
      </c>
      <c r="Z89" s="260">
        <v>2.2200000000000002</v>
      </c>
      <c r="AA89" s="260">
        <v>2230</v>
      </c>
      <c r="AB89" s="2597"/>
    </row>
    <row r="90" spans="19:28">
      <c r="S90" s="217" t="s">
        <v>720</v>
      </c>
      <c r="T90" s="217">
        <v>1910</v>
      </c>
      <c r="U90" s="217">
        <v>0.13</v>
      </c>
      <c r="V90" s="217">
        <v>0.1</v>
      </c>
      <c r="W90" s="217">
        <v>4.34</v>
      </c>
      <c r="X90" s="217">
        <v>11.21</v>
      </c>
      <c r="Y90" s="217">
        <v>1.21</v>
      </c>
      <c r="Z90" s="217">
        <v>0.6</v>
      </c>
      <c r="AA90" s="217">
        <v>600</v>
      </c>
      <c r="AB90" s="2598" t="s">
        <v>756</v>
      </c>
    </row>
    <row r="91" spans="19:28">
      <c r="S91" s="217" t="s">
        <v>757</v>
      </c>
      <c r="T91" s="217">
        <v>1800</v>
      </c>
      <c r="U91" s="217">
        <v>0.14000000000000001</v>
      </c>
      <c r="V91" s="217">
        <v>0.1</v>
      </c>
      <c r="W91" s="217">
        <v>4.07</v>
      </c>
      <c r="X91" s="217">
        <v>11.18</v>
      </c>
      <c r="Y91" s="217">
        <v>1.27</v>
      </c>
      <c r="Z91" s="217">
        <v>0.56999999999999995</v>
      </c>
      <c r="AA91" s="217">
        <v>570</v>
      </c>
      <c r="AB91" s="2596"/>
    </row>
    <row r="92" spans="19:28">
      <c r="S92" s="217" t="s">
        <v>730</v>
      </c>
      <c r="T92" s="217">
        <v>1060</v>
      </c>
      <c r="U92" s="217">
        <v>0.06</v>
      </c>
      <c r="V92" s="217">
        <v>0.03</v>
      </c>
      <c r="W92" s="217">
        <v>2.27</v>
      </c>
      <c r="X92" s="217">
        <v>6.7</v>
      </c>
      <c r="Y92" s="217">
        <v>0.56000000000000005</v>
      </c>
      <c r="Z92" s="217">
        <v>0.33</v>
      </c>
      <c r="AA92" s="217">
        <v>330</v>
      </c>
      <c r="AB92" s="2596"/>
    </row>
    <row r="93" spans="19:28">
      <c r="S93" s="217" t="s">
        <v>733</v>
      </c>
      <c r="T93" s="217">
        <v>990</v>
      </c>
      <c r="U93" s="217">
        <v>0.06</v>
      </c>
      <c r="V93" s="217">
        <v>0.03</v>
      </c>
      <c r="W93" s="217">
        <v>2.69</v>
      </c>
      <c r="X93" s="217">
        <v>6.18</v>
      </c>
      <c r="Y93" s="217">
        <v>0.5</v>
      </c>
      <c r="Z93" s="217">
        <v>0.31</v>
      </c>
      <c r="AA93" s="217">
        <v>310</v>
      </c>
      <c r="AB93" s="2596"/>
    </row>
    <row r="94" spans="19:28">
      <c r="S94" s="217" t="s">
        <v>758</v>
      </c>
      <c r="T94" s="217">
        <v>2390</v>
      </c>
      <c r="U94" s="217">
        <v>0.14000000000000001</v>
      </c>
      <c r="V94" s="217">
        <v>0.1</v>
      </c>
      <c r="W94" s="217">
        <v>5.75</v>
      </c>
      <c r="X94" s="217">
        <v>13.84</v>
      </c>
      <c r="Y94" s="217">
        <v>1.29</v>
      </c>
      <c r="Z94" s="217">
        <v>0.76</v>
      </c>
      <c r="AA94" s="217">
        <v>760</v>
      </c>
      <c r="AB94" s="2596"/>
    </row>
    <row r="95" spans="19:28">
      <c r="S95" s="217" t="s">
        <v>759</v>
      </c>
      <c r="T95" s="217">
        <v>2520</v>
      </c>
      <c r="U95" s="217">
        <v>0.15</v>
      </c>
      <c r="V95" s="217">
        <v>0.1</v>
      </c>
      <c r="W95" s="217">
        <v>7.4</v>
      </c>
      <c r="X95" s="217">
        <v>13.07</v>
      </c>
      <c r="Y95" s="217">
        <v>1.36</v>
      </c>
      <c r="Z95" s="217">
        <v>0.8</v>
      </c>
      <c r="AA95" s="217">
        <v>800</v>
      </c>
      <c r="AB95" s="2596"/>
    </row>
    <row r="96" spans="19:28">
      <c r="S96" s="217" t="s">
        <v>760</v>
      </c>
      <c r="T96" s="217">
        <v>870</v>
      </c>
      <c r="U96" s="217">
        <v>0.06</v>
      </c>
      <c r="V96" s="217">
        <v>0.03</v>
      </c>
      <c r="W96" s="217">
        <v>2.99</v>
      </c>
      <c r="X96" s="217">
        <v>5.35</v>
      </c>
      <c r="Y96" s="217">
        <v>0.52</v>
      </c>
      <c r="Z96" s="217">
        <v>0.27</v>
      </c>
      <c r="AA96" s="217">
        <v>280</v>
      </c>
      <c r="AB96" s="2596"/>
    </row>
    <row r="97" spans="19:28">
      <c r="S97" s="217" t="s">
        <v>740</v>
      </c>
      <c r="T97" s="217">
        <v>2160</v>
      </c>
      <c r="U97" s="217">
        <v>0.14000000000000001</v>
      </c>
      <c r="V97" s="217">
        <v>0.1</v>
      </c>
      <c r="W97" s="217">
        <v>5.63</v>
      </c>
      <c r="X97" s="217">
        <v>8.8800000000000008</v>
      </c>
      <c r="Y97" s="217">
        <v>1.23</v>
      </c>
      <c r="Z97" s="217">
        <v>0.68</v>
      </c>
      <c r="AA97" s="217">
        <v>680</v>
      </c>
      <c r="AB97" s="2596"/>
    </row>
    <row r="98" spans="19:28">
      <c r="S98" s="217" t="s">
        <v>761</v>
      </c>
      <c r="T98" s="217">
        <v>1890</v>
      </c>
      <c r="U98" s="217">
        <v>0.03</v>
      </c>
      <c r="V98" s="217">
        <v>0.1</v>
      </c>
      <c r="W98" s="217">
        <v>5.58</v>
      </c>
      <c r="X98" s="217">
        <v>8.42</v>
      </c>
      <c r="Y98" s="217">
        <v>0.28000000000000003</v>
      </c>
      <c r="Z98" s="217">
        <v>0.6</v>
      </c>
      <c r="AA98" s="217">
        <v>600</v>
      </c>
      <c r="AB98" s="2596"/>
    </row>
    <row r="99" spans="19:28">
      <c r="S99" s="260" t="s">
        <v>745</v>
      </c>
      <c r="T99" s="260">
        <v>2880</v>
      </c>
      <c r="U99" s="260">
        <v>0.25</v>
      </c>
      <c r="V99" s="260">
        <v>0.1</v>
      </c>
      <c r="W99" s="260">
        <v>10.66</v>
      </c>
      <c r="X99" s="260">
        <v>10.220000000000001</v>
      </c>
      <c r="Y99" s="260">
        <v>2.27</v>
      </c>
      <c r="Z99" s="260">
        <v>0.91</v>
      </c>
      <c r="AA99" s="260">
        <v>910</v>
      </c>
      <c r="AB99" s="2597"/>
    </row>
    <row r="100" spans="19:28" ht="22.8">
      <c r="S100" s="809" t="s">
        <v>748</v>
      </c>
      <c r="T100" s="809">
        <v>1070</v>
      </c>
      <c r="U100" s="809">
        <v>0.33</v>
      </c>
      <c r="V100" s="809">
        <v>0.03</v>
      </c>
      <c r="W100" s="809">
        <v>0.74</v>
      </c>
      <c r="X100" s="809">
        <v>34.07</v>
      </c>
      <c r="Y100" s="809">
        <v>3.01</v>
      </c>
      <c r="Z100" s="809">
        <v>0.34</v>
      </c>
      <c r="AA100" s="809">
        <v>340</v>
      </c>
      <c r="AB100" s="810" t="s">
        <v>762</v>
      </c>
    </row>
    <row r="101" spans="19:28">
      <c r="S101" s="261" t="s">
        <v>752</v>
      </c>
      <c r="T101" s="261">
        <v>230</v>
      </c>
      <c r="U101" s="261">
        <v>0.06</v>
      </c>
      <c r="V101" s="261">
        <v>0.01</v>
      </c>
      <c r="W101" s="261">
        <v>0.3</v>
      </c>
      <c r="X101" s="261">
        <v>2.97</v>
      </c>
      <c r="Y101" s="261">
        <v>0.57999999999999996</v>
      </c>
      <c r="Z101" s="261">
        <v>7.0000000000000007E-2</v>
      </c>
      <c r="AA101" s="261">
        <v>70</v>
      </c>
      <c r="AB101" s="2599" t="s">
        <v>751</v>
      </c>
    </row>
    <row r="102" spans="19:28">
      <c r="S102" s="261" t="s">
        <v>754</v>
      </c>
      <c r="T102" s="261">
        <v>640</v>
      </c>
      <c r="U102" s="261">
        <v>0</v>
      </c>
      <c r="V102" s="261">
        <v>0.02</v>
      </c>
      <c r="W102" s="261">
        <v>1.51</v>
      </c>
      <c r="X102" s="261">
        <v>2.2400000000000002</v>
      </c>
      <c r="Y102" s="261">
        <v>0</v>
      </c>
      <c r="Z102" s="261">
        <v>0.2</v>
      </c>
      <c r="AA102" s="261">
        <v>200</v>
      </c>
      <c r="AB102" s="2600"/>
    </row>
    <row r="103" spans="19:28">
      <c r="S103" s="262" t="s">
        <v>755</v>
      </c>
      <c r="T103" s="262">
        <v>620</v>
      </c>
      <c r="U103" s="262">
        <v>0.03</v>
      </c>
      <c r="V103" s="262">
        <v>0.02</v>
      </c>
      <c r="W103" s="262">
        <v>1.82</v>
      </c>
      <c r="X103" s="262">
        <v>2.33</v>
      </c>
      <c r="Y103" s="262">
        <v>0.26</v>
      </c>
      <c r="Z103" s="262">
        <v>0.2</v>
      </c>
      <c r="AA103" s="262">
        <v>200</v>
      </c>
      <c r="AB103" s="2601"/>
    </row>
  </sheetData>
  <mergeCells count="47">
    <mergeCell ref="AB90:AB99"/>
    <mergeCell ref="AB101:AB103"/>
    <mergeCell ref="S10:S11"/>
    <mergeCell ref="T10:Z10"/>
    <mergeCell ref="AA10:AA11"/>
    <mergeCell ref="S50:S51"/>
    <mergeCell ref="T50:Z50"/>
    <mergeCell ref="AA50:AA51"/>
    <mergeCell ref="L10:P10"/>
    <mergeCell ref="Q10:Q11"/>
    <mergeCell ref="J12:J49"/>
    <mergeCell ref="J50:J59"/>
    <mergeCell ref="AB52:AB89"/>
    <mergeCell ref="C6:E6"/>
    <mergeCell ref="A8:B8"/>
    <mergeCell ref="A9:B9"/>
    <mergeCell ref="A10:B10"/>
    <mergeCell ref="J61:J63"/>
    <mergeCell ref="J10:K11"/>
    <mergeCell ref="A11:B11"/>
    <mergeCell ref="A12:B12"/>
    <mergeCell ref="A13:B13"/>
    <mergeCell ref="A14:B14"/>
    <mergeCell ref="A6:B7"/>
    <mergeCell ref="A15:E18"/>
    <mergeCell ref="A30:B30"/>
    <mergeCell ref="A31:H31"/>
    <mergeCell ref="A35:A36"/>
    <mergeCell ref="B35:D35"/>
    <mergeCell ref="E35:G35"/>
    <mergeCell ref="A25:B25"/>
    <mergeCell ref="A26:B26"/>
    <mergeCell ref="A27:B27"/>
    <mergeCell ref="A28:B28"/>
    <mergeCell ref="A29:B29"/>
    <mergeCell ref="A21:B22"/>
    <mergeCell ref="C21:E21"/>
    <mergeCell ref="F21:H21"/>
    <mergeCell ref="A23:B23"/>
    <mergeCell ref="A24:B24"/>
    <mergeCell ref="C58:D58"/>
    <mergeCell ref="A58:B59"/>
    <mergeCell ref="A60:B61"/>
    <mergeCell ref="A43:E43"/>
    <mergeCell ref="A44:B45"/>
    <mergeCell ref="C44:E44"/>
    <mergeCell ref="A51:A54"/>
  </mergeCells>
  <hyperlinks>
    <hyperlink ref="J5" location="EF_Aviation_ICAO!A8" display="Emission factor from ICAO" xr:uid="{00000000-0004-0000-1900-000000000000}"/>
    <hyperlink ref="J6" location="EF_Aviation_ICAO!A66" display="Emission factor from GPG 2000 - IPCC" xr:uid="{00000000-0004-0000-1900-000001000000}"/>
    <hyperlink ref="J7" location="EF_Aviation_ICAO!A104" display="Emissions factor from 2006 IPCC GL" xr:uid="{00000000-0004-0000-1900-000002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499984740745262"/>
  </sheetPr>
  <dimension ref="A1:I118"/>
  <sheetViews>
    <sheetView zoomScale="55" zoomScaleNormal="55" workbookViewId="0">
      <pane xSplit="2" ySplit="20" topLeftCell="C24" activePane="bottomRight" state="frozen"/>
      <selection pane="topRight" activeCell="C1" sqref="C1"/>
      <selection pane="bottomLeft" activeCell="A21" sqref="A21"/>
      <selection pane="bottomRight" activeCell="F6" sqref="F6"/>
    </sheetView>
  </sheetViews>
  <sheetFormatPr defaultColWidth="9" defaultRowHeight="13.2"/>
  <cols>
    <col min="1" max="1" width="38.33203125" style="413" customWidth="1"/>
    <col min="2" max="2" width="25.44140625" style="411" customWidth="1"/>
    <col min="3" max="3" width="30" style="411" bestFit="1" customWidth="1"/>
    <col min="4" max="4" width="25.44140625" style="411" customWidth="1"/>
    <col min="5" max="5" width="45" style="412" bestFit="1" customWidth="1"/>
    <col min="6" max="6" width="48.44140625" style="413" bestFit="1" customWidth="1"/>
    <col min="7" max="7" width="36.6640625" style="413" bestFit="1" customWidth="1"/>
    <col min="8" max="8" width="22.44140625" style="413" bestFit="1" customWidth="1"/>
    <col min="9" max="9" width="15.44140625" style="413" customWidth="1"/>
    <col min="10" max="16384" width="9" style="413"/>
  </cols>
  <sheetData>
    <row r="1" spans="1:9" s="1186" customFormat="1">
      <c r="A1" s="1183" t="s">
        <v>821</v>
      </c>
      <c r="B1" s="1184"/>
      <c r="C1" s="1184"/>
      <c r="D1" s="1184"/>
      <c r="E1" s="1185"/>
    </row>
    <row r="2" spans="1:9" s="1182" customFormat="1">
      <c r="B2" s="1180"/>
      <c r="C2" s="1180"/>
      <c r="D2" s="1180"/>
      <c r="E2" s="1181"/>
    </row>
    <row r="3" spans="1:9" s="1190" customFormat="1">
      <c r="A3" s="1187" t="s">
        <v>1951</v>
      </c>
      <c r="B3" s="1188"/>
      <c r="C3" s="1188"/>
      <c r="D3" s="1188"/>
      <c r="E3" s="1189"/>
    </row>
    <row r="4" spans="1:9">
      <c r="A4" s="2616" t="s">
        <v>822</v>
      </c>
      <c r="B4" s="2616" t="s">
        <v>823</v>
      </c>
      <c r="C4" s="2616"/>
      <c r="D4" s="413"/>
      <c r="E4" s="413"/>
      <c r="G4" s="419"/>
      <c r="H4" s="419"/>
      <c r="I4" s="419"/>
    </row>
    <row r="5" spans="1:9" ht="14.4">
      <c r="A5" s="2616"/>
      <c r="B5" s="1191" t="s">
        <v>824</v>
      </c>
      <c r="C5" s="1191" t="s">
        <v>825</v>
      </c>
      <c r="D5" s="413"/>
      <c r="E5" s="413"/>
    </row>
    <row r="6" spans="1:9" ht="14.4">
      <c r="A6" s="687" t="s">
        <v>826</v>
      </c>
      <c r="B6" s="2661">
        <v>0.5</v>
      </c>
      <c r="C6" s="2661">
        <v>0.5</v>
      </c>
      <c r="D6" s="413"/>
      <c r="E6" s="413"/>
    </row>
    <row r="7" spans="1:9">
      <c r="A7" s="689" t="s">
        <v>827</v>
      </c>
      <c r="B7" s="688"/>
      <c r="C7" s="688"/>
      <c r="D7" s="413"/>
      <c r="E7" s="413"/>
    </row>
    <row r="8" spans="1:9">
      <c r="A8" s="690" t="s">
        <v>828</v>
      </c>
      <c r="B8" s="688">
        <v>1</v>
      </c>
      <c r="C8" s="688">
        <v>1</v>
      </c>
      <c r="D8" s="413"/>
      <c r="E8" s="413"/>
    </row>
    <row r="9" spans="1:9">
      <c r="A9" s="691" t="s">
        <v>829</v>
      </c>
      <c r="B9" s="688">
        <v>0.5</v>
      </c>
      <c r="C9" s="688"/>
      <c r="D9" s="413"/>
      <c r="E9" s="413"/>
    </row>
    <row r="10" spans="1:9">
      <c r="A10" s="690" t="s">
        <v>830</v>
      </c>
      <c r="B10" s="688">
        <v>0.8</v>
      </c>
      <c r="C10" s="688">
        <v>0.5</v>
      </c>
      <c r="D10" s="413"/>
      <c r="E10" s="413"/>
    </row>
    <row r="11" spans="1:9">
      <c r="A11" s="691" t="s">
        <v>831</v>
      </c>
      <c r="B11" s="688">
        <v>0.4</v>
      </c>
      <c r="C11" s="688"/>
      <c r="D11" s="413"/>
      <c r="E11" s="413"/>
    </row>
    <row r="12" spans="1:9">
      <c r="A12" s="691" t="s">
        <v>832</v>
      </c>
      <c r="B12" s="688">
        <v>0.6</v>
      </c>
      <c r="C12" s="688"/>
      <c r="D12" s="413"/>
      <c r="E12" s="413"/>
    </row>
    <row r="13" spans="1:9">
      <c r="A13" s="687" t="s">
        <v>833</v>
      </c>
      <c r="B13" s="692"/>
      <c r="C13" s="692"/>
      <c r="D13" s="413"/>
      <c r="E13" s="413"/>
    </row>
    <row r="14" spans="1:9">
      <c r="A14" s="690" t="s">
        <v>834</v>
      </c>
      <c r="B14" s="692">
        <v>0.1</v>
      </c>
      <c r="C14" s="692">
        <v>0.17</v>
      </c>
      <c r="D14" s="413"/>
      <c r="E14" s="413"/>
    </row>
    <row r="15" spans="1:9">
      <c r="A15" s="691" t="s">
        <v>835</v>
      </c>
      <c r="B15" s="692">
        <v>0</v>
      </c>
      <c r="C15" s="692">
        <v>0</v>
      </c>
      <c r="D15" s="413"/>
      <c r="E15" s="413"/>
    </row>
    <row r="16" spans="1:9" ht="14.4">
      <c r="A16" s="687" t="s">
        <v>836</v>
      </c>
      <c r="B16" s="692">
        <v>0.5</v>
      </c>
      <c r="C16" s="692">
        <v>0.55000000000000004</v>
      </c>
      <c r="D16" s="413"/>
      <c r="E16" s="413"/>
    </row>
    <row r="17" spans="1:9" ht="14.4">
      <c r="A17" s="689" t="s">
        <v>837</v>
      </c>
      <c r="B17" s="693">
        <f>16/12</f>
        <v>1.3333333333333333</v>
      </c>
      <c r="C17" s="693"/>
      <c r="D17" s="413"/>
      <c r="E17" s="413"/>
    </row>
    <row r="18" spans="1:9" ht="26.4">
      <c r="A18" s="694" t="s">
        <v>838</v>
      </c>
      <c r="B18" s="437"/>
      <c r="C18" s="437"/>
      <c r="D18" s="413"/>
      <c r="E18" s="413"/>
    </row>
    <row r="19" spans="1:9">
      <c r="B19" s="413"/>
      <c r="C19" s="413"/>
      <c r="D19" s="413"/>
      <c r="E19" s="413"/>
    </row>
    <row r="20" spans="1:9">
      <c r="A20" s="887" t="s">
        <v>1800</v>
      </c>
      <c r="B20" s="887" t="s">
        <v>1801</v>
      </c>
      <c r="C20" s="887" t="s">
        <v>1795</v>
      </c>
      <c r="D20" s="887" t="s">
        <v>1822</v>
      </c>
      <c r="E20" s="887" t="s">
        <v>1955</v>
      </c>
      <c r="F20" s="887" t="s">
        <v>1841</v>
      </c>
      <c r="G20" s="887" t="s">
        <v>1842</v>
      </c>
      <c r="H20" s="887" t="s">
        <v>1796</v>
      </c>
    </row>
    <row r="21" spans="1:9">
      <c r="A21" s="414" t="s">
        <v>809</v>
      </c>
      <c r="B21" s="414" t="s">
        <v>1804</v>
      </c>
      <c r="C21" s="415">
        <v>0.15</v>
      </c>
      <c r="D21" s="415">
        <v>0.4</v>
      </c>
      <c r="E21" s="430">
        <v>0.435</v>
      </c>
      <c r="F21" s="415"/>
      <c r="G21" s="415">
        <v>0.38</v>
      </c>
      <c r="H21" s="415">
        <v>0.4</v>
      </c>
    </row>
    <row r="22" spans="1:9">
      <c r="A22" s="414" t="s">
        <v>810</v>
      </c>
      <c r="B22" s="414" t="s">
        <v>1806</v>
      </c>
      <c r="C22" s="415">
        <v>0.4</v>
      </c>
      <c r="D22" s="415">
        <v>0.9</v>
      </c>
      <c r="E22" s="430">
        <v>0.129</v>
      </c>
      <c r="F22" s="415">
        <v>0.01</v>
      </c>
      <c r="G22" s="415">
        <v>0.46</v>
      </c>
      <c r="H22" s="415">
        <v>7.0000000000000007E-2</v>
      </c>
    </row>
    <row r="23" spans="1:9">
      <c r="A23" s="414" t="s">
        <v>811</v>
      </c>
      <c r="B23" s="414" t="s">
        <v>1809</v>
      </c>
      <c r="C23" s="415">
        <v>0</v>
      </c>
      <c r="D23" s="415">
        <v>1</v>
      </c>
      <c r="E23" s="430">
        <v>7.1999999999999995E-2</v>
      </c>
      <c r="F23" s="415">
        <v>1</v>
      </c>
      <c r="G23" s="415">
        <v>0.75</v>
      </c>
      <c r="H23" s="415">
        <v>0</v>
      </c>
    </row>
    <row r="24" spans="1:9">
      <c r="A24" s="414" t="s">
        <v>812</v>
      </c>
      <c r="B24" s="414" t="s">
        <v>1810</v>
      </c>
      <c r="C24" s="415">
        <v>0</v>
      </c>
      <c r="D24" s="415">
        <v>1</v>
      </c>
      <c r="E24" s="430">
        <v>0.04</v>
      </c>
      <c r="F24" s="415"/>
      <c r="G24" s="415"/>
      <c r="H24" s="415">
        <v>0</v>
      </c>
    </row>
    <row r="25" spans="1:9">
      <c r="A25" s="414" t="s">
        <v>813</v>
      </c>
      <c r="B25" s="414" t="s">
        <v>1812</v>
      </c>
      <c r="C25" s="415">
        <v>0</v>
      </c>
      <c r="D25" s="415">
        <v>1</v>
      </c>
      <c r="E25" s="430">
        <v>3.3000000000000002E-2</v>
      </c>
      <c r="F25" s="415"/>
      <c r="G25" s="415"/>
      <c r="H25" s="415">
        <v>0</v>
      </c>
    </row>
    <row r="26" spans="1:9">
      <c r="A26" s="414" t="s">
        <v>814</v>
      </c>
      <c r="B26" s="414" t="s">
        <v>1813</v>
      </c>
      <c r="C26" s="415">
        <v>0</v>
      </c>
      <c r="D26" s="415">
        <v>0.84</v>
      </c>
      <c r="E26" s="430">
        <v>8.9999999999999993E-3</v>
      </c>
      <c r="F26" s="415">
        <v>0.2</v>
      </c>
      <c r="G26" s="415">
        <v>0.67</v>
      </c>
      <c r="H26" s="415">
        <v>0</v>
      </c>
    </row>
    <row r="27" spans="1:9">
      <c r="A27" s="414" t="s">
        <v>815</v>
      </c>
      <c r="B27" s="414" t="s">
        <v>1814</v>
      </c>
      <c r="C27" s="415">
        <v>0.24</v>
      </c>
      <c r="D27" s="415">
        <v>0.8</v>
      </c>
      <c r="E27" s="430">
        <v>2.7E-2</v>
      </c>
      <c r="F27" s="415">
        <v>0.2</v>
      </c>
      <c r="G27" s="415">
        <v>0.5</v>
      </c>
      <c r="H27" s="415">
        <v>7.0000000000000007E-2</v>
      </c>
    </row>
    <row r="28" spans="1:9">
      <c r="A28" s="414" t="s">
        <v>1815</v>
      </c>
      <c r="B28" s="414" t="s">
        <v>1816</v>
      </c>
      <c r="C28" s="415">
        <v>0.24</v>
      </c>
      <c r="D28" s="415">
        <v>0.4</v>
      </c>
      <c r="E28" s="430">
        <v>0</v>
      </c>
      <c r="F28" s="415"/>
      <c r="G28" s="415">
        <v>0.7</v>
      </c>
      <c r="H28" s="415">
        <v>0.17</v>
      </c>
    </row>
    <row r="29" spans="1:9" s="1418" customFormat="1">
      <c r="A29" s="1835" t="s">
        <v>816</v>
      </c>
      <c r="B29" s="1835" t="s">
        <v>1817</v>
      </c>
      <c r="C29" s="2660">
        <v>0.2</v>
      </c>
      <c r="D29" s="1836">
        <v>0.4</v>
      </c>
      <c r="E29" s="1837">
        <v>9.9000000000000005E-2</v>
      </c>
      <c r="F29" s="1836">
        <v>0</v>
      </c>
      <c r="G29" s="1836">
        <v>0.49</v>
      </c>
      <c r="H29" s="1836">
        <v>0.17</v>
      </c>
    </row>
    <row r="30" spans="1:9">
      <c r="A30" s="414" t="s">
        <v>817</v>
      </c>
      <c r="B30" s="414" t="s">
        <v>1818</v>
      </c>
      <c r="C30" s="415">
        <v>0</v>
      </c>
      <c r="D30" s="415">
        <v>0</v>
      </c>
      <c r="E30" s="430"/>
      <c r="F30" s="415"/>
      <c r="G30" s="415"/>
      <c r="H30" s="415">
        <v>0</v>
      </c>
    </row>
    <row r="31" spans="1:9">
      <c r="A31" s="414" t="s">
        <v>266</v>
      </c>
      <c r="B31" s="414" t="s">
        <v>1819</v>
      </c>
      <c r="C31" s="415">
        <v>0</v>
      </c>
      <c r="D31" s="415">
        <v>0.9</v>
      </c>
      <c r="E31" s="430">
        <v>0.16300000000000001</v>
      </c>
      <c r="F31" s="415">
        <v>1</v>
      </c>
      <c r="G31" s="415">
        <v>0.03</v>
      </c>
      <c r="H31" s="415">
        <v>0</v>
      </c>
    </row>
    <row r="32" spans="1:9">
      <c r="A32" s="414" t="s">
        <v>1820</v>
      </c>
      <c r="B32" s="414" t="s">
        <v>1821</v>
      </c>
      <c r="C32" s="415">
        <v>0.15</v>
      </c>
      <c r="D32" s="415"/>
      <c r="E32" s="415"/>
      <c r="F32" s="415">
        <v>0.25</v>
      </c>
      <c r="G32" s="415">
        <v>0.4</v>
      </c>
      <c r="H32" s="415">
        <v>0</v>
      </c>
      <c r="I32" s="419"/>
    </row>
    <row r="33" spans="1:6">
      <c r="A33" s="413" t="s">
        <v>1843</v>
      </c>
      <c r="D33" s="413"/>
      <c r="E33" s="413"/>
    </row>
    <row r="34" spans="1:6">
      <c r="B34" s="413"/>
      <c r="C34" s="413"/>
      <c r="D34" s="413"/>
      <c r="E34" s="413"/>
    </row>
    <row r="35" spans="1:6" s="1190" customFormat="1">
      <c r="A35" s="1187" t="s">
        <v>1952</v>
      </c>
      <c r="B35" s="1188"/>
      <c r="C35" s="1188"/>
      <c r="D35" s="1188"/>
      <c r="E35" s="1189"/>
    </row>
    <row r="36" spans="1:6">
      <c r="A36" s="410" t="s">
        <v>1794</v>
      </c>
    </row>
    <row r="37" spans="1:6" ht="14.4">
      <c r="A37" s="2620" t="s">
        <v>1797</v>
      </c>
      <c r="B37" s="2622" t="s">
        <v>1798</v>
      </c>
      <c r="C37" s="2622"/>
      <c r="D37" s="2622" t="s">
        <v>1799</v>
      </c>
      <c r="E37" s="2622"/>
    </row>
    <row r="38" spans="1:6">
      <c r="A38" s="2621"/>
      <c r="B38" s="888" t="s">
        <v>1802</v>
      </c>
      <c r="C38" s="888" t="s">
        <v>1803</v>
      </c>
      <c r="D38" s="888" t="s">
        <v>1802</v>
      </c>
      <c r="E38" s="888" t="s">
        <v>1803</v>
      </c>
    </row>
    <row r="39" spans="1:6">
      <c r="A39" s="414" t="s">
        <v>1805</v>
      </c>
      <c r="B39" s="416">
        <v>10</v>
      </c>
      <c r="C39" s="416">
        <v>4</v>
      </c>
      <c r="D39" s="416">
        <v>0.6</v>
      </c>
      <c r="E39" s="417">
        <v>0.3</v>
      </c>
    </row>
    <row r="40" spans="1:6">
      <c r="A40" s="414" t="s">
        <v>1807</v>
      </c>
      <c r="B40" s="416">
        <v>2</v>
      </c>
      <c r="C40" s="416">
        <v>1</v>
      </c>
      <c r="D40" s="416" t="s">
        <v>1808</v>
      </c>
      <c r="E40" s="416" t="s">
        <v>1808</v>
      </c>
    </row>
    <row r="41" spans="1:6">
      <c r="A41" s="413" t="s">
        <v>1811</v>
      </c>
    </row>
    <row r="42" spans="1:6" s="1190" customFormat="1">
      <c r="A42" s="1187" t="s">
        <v>1953</v>
      </c>
      <c r="B42" s="1188"/>
      <c r="C42" s="1188"/>
      <c r="D42" s="1188"/>
      <c r="E42" s="1189"/>
    </row>
    <row r="43" spans="1:6" s="695" customFormat="1">
      <c r="A43" s="696" t="s">
        <v>850</v>
      </c>
      <c r="B43" s="696"/>
      <c r="C43" s="696"/>
      <c r="D43" s="696"/>
      <c r="E43" s="696"/>
      <c r="F43" s="696"/>
    </row>
    <row r="44" spans="1:6" s="695" customFormat="1">
      <c r="A44" s="2617" t="s">
        <v>853</v>
      </c>
      <c r="B44" s="2617"/>
      <c r="C44" s="2133" t="s">
        <v>855</v>
      </c>
      <c r="D44" s="2133"/>
      <c r="E44" s="2133"/>
    </row>
    <row r="45" spans="1:6" s="695" customFormat="1">
      <c r="A45" s="2617"/>
      <c r="B45" s="2617"/>
      <c r="C45" s="697" t="s">
        <v>857</v>
      </c>
      <c r="D45" s="858" t="s">
        <v>858</v>
      </c>
      <c r="E45" s="858" t="s">
        <v>859</v>
      </c>
    </row>
    <row r="46" spans="1:6" s="695" customFormat="1">
      <c r="A46" s="2617"/>
      <c r="B46" s="2617"/>
      <c r="C46" s="858" t="s">
        <v>861</v>
      </c>
      <c r="D46" s="858" t="s">
        <v>861</v>
      </c>
      <c r="E46" s="858" t="s">
        <v>861</v>
      </c>
    </row>
    <row r="47" spans="1:6" s="695" customFormat="1">
      <c r="A47" s="2134" t="s">
        <v>809</v>
      </c>
      <c r="B47" s="2134"/>
      <c r="C47" s="858">
        <v>40</v>
      </c>
      <c r="D47" s="858">
        <v>38</v>
      </c>
      <c r="E47" s="858">
        <v>0</v>
      </c>
    </row>
    <row r="48" spans="1:6" s="695" customFormat="1">
      <c r="A48" s="2134" t="s">
        <v>810</v>
      </c>
      <c r="B48" s="2134"/>
      <c r="C48" s="858">
        <v>90</v>
      </c>
      <c r="D48" s="858">
        <v>46</v>
      </c>
      <c r="E48" s="858">
        <v>1</v>
      </c>
    </row>
    <row r="49" spans="1:5" s="695" customFormat="1">
      <c r="A49" s="2134" t="s">
        <v>811</v>
      </c>
      <c r="B49" s="2134"/>
      <c r="C49" s="858">
        <v>100</v>
      </c>
      <c r="D49" s="858">
        <v>75</v>
      </c>
      <c r="E49" s="858">
        <v>100</v>
      </c>
    </row>
    <row r="50" spans="1:5" s="695" customFormat="1">
      <c r="A50" s="2134" t="s">
        <v>812</v>
      </c>
      <c r="B50" s="2134"/>
      <c r="C50" s="858">
        <v>100</v>
      </c>
      <c r="D50" s="858">
        <v>0</v>
      </c>
      <c r="E50" s="858">
        <v>0</v>
      </c>
    </row>
    <row r="51" spans="1:5" s="695" customFormat="1">
      <c r="A51" s="2134" t="s">
        <v>813</v>
      </c>
      <c r="B51" s="2134"/>
      <c r="C51" s="858">
        <v>100</v>
      </c>
      <c r="D51" s="858">
        <v>0</v>
      </c>
      <c r="E51" s="858">
        <v>0</v>
      </c>
    </row>
    <row r="52" spans="1:5" s="695" customFormat="1">
      <c r="A52" s="2134" t="s">
        <v>814</v>
      </c>
      <c r="B52" s="2134"/>
      <c r="C52" s="858">
        <v>84</v>
      </c>
      <c r="D52" s="858">
        <v>67</v>
      </c>
      <c r="E52" s="858">
        <v>20</v>
      </c>
    </row>
    <row r="53" spans="1:5" s="695" customFormat="1">
      <c r="A53" s="2134" t="s">
        <v>815</v>
      </c>
      <c r="B53" s="2134"/>
      <c r="C53" s="858">
        <v>80</v>
      </c>
      <c r="D53" s="858">
        <v>50</v>
      </c>
      <c r="E53" s="858">
        <v>20</v>
      </c>
    </row>
    <row r="54" spans="1:5" s="695" customFormat="1">
      <c r="A54" s="2134" t="s">
        <v>816</v>
      </c>
      <c r="B54" s="2134"/>
      <c r="C54" s="858">
        <v>40</v>
      </c>
      <c r="D54" s="858">
        <v>70</v>
      </c>
      <c r="E54" s="858">
        <v>0</v>
      </c>
    </row>
    <row r="55" spans="1:5" s="695" customFormat="1">
      <c r="A55" s="2134" t="s">
        <v>817</v>
      </c>
      <c r="B55" s="2134"/>
      <c r="C55" s="858">
        <v>0</v>
      </c>
      <c r="D55" s="858">
        <v>49</v>
      </c>
      <c r="E55" s="858">
        <v>0</v>
      </c>
    </row>
    <row r="56" spans="1:5" s="695" customFormat="1">
      <c r="A56" s="2134" t="s">
        <v>266</v>
      </c>
      <c r="B56" s="2134"/>
      <c r="C56" s="858">
        <v>90</v>
      </c>
      <c r="D56" s="858">
        <v>3</v>
      </c>
      <c r="E56" s="858">
        <v>100</v>
      </c>
    </row>
    <row r="57" spans="1:5" s="695" customFormat="1">
      <c r="A57" s="695" t="s">
        <v>866</v>
      </c>
    </row>
    <row r="59" spans="1:5" s="1190" customFormat="1">
      <c r="A59" s="1187" t="s">
        <v>1954</v>
      </c>
      <c r="B59" s="1188"/>
      <c r="C59" s="1188"/>
      <c r="D59" s="1188"/>
      <c r="E59" s="1189"/>
    </row>
    <row r="60" spans="1:5">
      <c r="A60" s="171" t="s">
        <v>1823</v>
      </c>
      <c r="E60" s="738"/>
    </row>
    <row r="61" spans="1:5" ht="26.4">
      <c r="A61" s="420" t="s">
        <v>1824</v>
      </c>
      <c r="B61" s="889" t="s">
        <v>1825</v>
      </c>
      <c r="C61" s="889" t="s">
        <v>2110</v>
      </c>
      <c r="D61" s="2623" t="s">
        <v>1826</v>
      </c>
      <c r="E61" s="2623"/>
    </row>
    <row r="62" spans="1:5">
      <c r="A62" s="421" t="s">
        <v>1827</v>
      </c>
      <c r="B62" s="422"/>
      <c r="C62" s="422"/>
      <c r="D62" s="2618"/>
      <c r="E62" s="2619"/>
    </row>
    <row r="63" spans="1:5">
      <c r="A63" s="414" t="s">
        <v>1828</v>
      </c>
      <c r="B63" s="423">
        <v>2.5000000000000001E-2</v>
      </c>
      <c r="C63" s="424">
        <v>0.625</v>
      </c>
      <c r="D63" s="425" t="s">
        <v>1829</v>
      </c>
      <c r="E63" s="425"/>
    </row>
    <row r="64" spans="1:5">
      <c r="A64" s="421" t="s">
        <v>1830</v>
      </c>
      <c r="B64" s="422"/>
      <c r="C64" s="422"/>
      <c r="D64" s="2618"/>
      <c r="E64" s="2619"/>
    </row>
    <row r="65" spans="1:5">
      <c r="A65" s="418" t="s">
        <v>1831</v>
      </c>
      <c r="B65" s="424">
        <v>0</v>
      </c>
      <c r="C65" s="424">
        <v>0</v>
      </c>
      <c r="D65" s="426"/>
      <c r="E65" s="427"/>
    </row>
    <row r="66" spans="1:5">
      <c r="A66" s="418" t="s">
        <v>1831</v>
      </c>
      <c r="B66" s="423">
        <v>7.4999999999999997E-2</v>
      </c>
      <c r="C66" s="424">
        <v>1.875</v>
      </c>
      <c r="D66" s="428" t="s">
        <v>1832</v>
      </c>
      <c r="E66" s="429"/>
    </row>
    <row r="67" spans="1:5">
      <c r="A67" s="418" t="s">
        <v>1833</v>
      </c>
      <c r="B67" s="423">
        <v>0.2</v>
      </c>
      <c r="C67" s="424">
        <v>5</v>
      </c>
      <c r="D67" s="428" t="s">
        <v>1834</v>
      </c>
      <c r="E67" s="429"/>
    </row>
    <row r="68" spans="1:5">
      <c r="A68" s="418" t="s">
        <v>1835</v>
      </c>
      <c r="B68" s="423">
        <v>0.2</v>
      </c>
      <c r="C68" s="424">
        <v>5</v>
      </c>
      <c r="D68" s="428" t="s">
        <v>1834</v>
      </c>
      <c r="E68" s="429"/>
    </row>
    <row r="69" spans="1:5">
      <c r="A69" s="418" t="s">
        <v>1836</v>
      </c>
      <c r="B69" s="423">
        <v>0.05</v>
      </c>
      <c r="C69" s="423">
        <v>1.25</v>
      </c>
      <c r="D69" s="428" t="s">
        <v>1837</v>
      </c>
      <c r="E69" s="429"/>
    </row>
    <row r="70" spans="1:5">
      <c r="A70" s="418" t="s">
        <v>1838</v>
      </c>
      <c r="B70" s="423">
        <v>0.2</v>
      </c>
      <c r="C70" s="424">
        <v>5</v>
      </c>
      <c r="D70" s="428" t="s">
        <v>1839</v>
      </c>
      <c r="E70" s="429"/>
    </row>
    <row r="71" spans="1:5">
      <c r="A71" s="413" t="s">
        <v>1840</v>
      </c>
    </row>
    <row r="73" spans="1:5">
      <c r="A73" s="171" t="s">
        <v>2352</v>
      </c>
    </row>
    <row r="74" spans="1:5">
      <c r="A74" s="417">
        <v>0.6</v>
      </c>
      <c r="B74" s="416" t="s">
        <v>2350</v>
      </c>
    </row>
    <row r="75" spans="1:5">
      <c r="A75" s="417">
        <v>0.25</v>
      </c>
      <c r="B75" s="416" t="s">
        <v>2351</v>
      </c>
    </row>
    <row r="76" spans="1:5">
      <c r="A76" s="413" t="s">
        <v>2353</v>
      </c>
    </row>
    <row r="78" spans="1:5" ht="14.4">
      <c r="A78" s="413" t="s">
        <v>2354</v>
      </c>
    </row>
    <row r="79" spans="1:5" ht="26.4">
      <c r="A79" s="1403" t="s">
        <v>2355</v>
      </c>
      <c r="B79" s="1404" t="s">
        <v>2356</v>
      </c>
      <c r="C79" s="1404" t="s">
        <v>2357</v>
      </c>
      <c r="D79" s="1404" t="s">
        <v>2358</v>
      </c>
    </row>
    <row r="80" spans="1:5">
      <c r="A80" s="2611" t="s">
        <v>2359</v>
      </c>
      <c r="B80" s="2611"/>
      <c r="C80" s="2611"/>
      <c r="D80" s="2611"/>
    </row>
    <row r="81" spans="1:4" ht="39.6">
      <c r="A81" s="1405" t="s">
        <v>2360</v>
      </c>
      <c r="B81" s="1406" t="s">
        <v>2361</v>
      </c>
      <c r="C81" s="1407">
        <v>0.1</v>
      </c>
      <c r="D81" s="1407" t="s">
        <v>2362</v>
      </c>
    </row>
    <row r="82" spans="1:4" ht="15.75" customHeight="1">
      <c r="A82" s="1405" t="s">
        <v>2363</v>
      </c>
      <c r="B82" s="1408" t="s">
        <v>2364</v>
      </c>
      <c r="C82" s="1407">
        <v>0.5</v>
      </c>
      <c r="D82" s="1407" t="s">
        <v>2365</v>
      </c>
    </row>
    <row r="83" spans="1:4" ht="54">
      <c r="A83" s="1409" t="s">
        <v>2366</v>
      </c>
      <c r="B83" s="1406" t="s">
        <v>2367</v>
      </c>
      <c r="C83" s="1407">
        <v>0</v>
      </c>
      <c r="D83" s="1407">
        <v>0</v>
      </c>
    </row>
    <row r="84" spans="1:4">
      <c r="A84" s="2611" t="s">
        <v>2368</v>
      </c>
      <c r="B84" s="2611"/>
      <c r="C84" s="2611"/>
      <c r="D84" s="2611"/>
    </row>
    <row r="85" spans="1:4" ht="54">
      <c r="A85" s="1409" t="s">
        <v>2369</v>
      </c>
      <c r="B85" s="1409" t="s">
        <v>2370</v>
      </c>
      <c r="C85" s="1407">
        <v>0</v>
      </c>
      <c r="D85" s="1407" t="s">
        <v>2371</v>
      </c>
    </row>
    <row r="86" spans="1:4">
      <c r="A86" s="1405" t="s">
        <v>2369</v>
      </c>
      <c r="B86" s="1405" t="s">
        <v>2372</v>
      </c>
      <c r="C86" s="1407">
        <v>0.3</v>
      </c>
      <c r="D86" s="1407" t="s">
        <v>2373</v>
      </c>
    </row>
    <row r="87" spans="1:4" ht="14.4">
      <c r="A87" s="1405" t="s">
        <v>2374</v>
      </c>
      <c r="B87" s="1405" t="s">
        <v>2375</v>
      </c>
      <c r="C87" s="1407">
        <v>0.8</v>
      </c>
      <c r="D87" s="1407" t="s">
        <v>2376</v>
      </c>
    </row>
    <row r="88" spans="1:4" ht="14.4">
      <c r="A88" s="1405" t="s">
        <v>2377</v>
      </c>
      <c r="B88" s="1405" t="s">
        <v>2375</v>
      </c>
      <c r="C88" s="1407">
        <v>0.8</v>
      </c>
      <c r="D88" s="1407" t="s">
        <v>2376</v>
      </c>
    </row>
    <row r="89" spans="1:4" ht="39.6">
      <c r="A89" s="1405" t="s">
        <v>2378</v>
      </c>
      <c r="B89" s="1409" t="s">
        <v>2379</v>
      </c>
      <c r="C89" s="1407">
        <v>0.2</v>
      </c>
      <c r="D89" s="1407" t="s">
        <v>2380</v>
      </c>
    </row>
    <row r="90" spans="1:4">
      <c r="A90" s="1405" t="s">
        <v>2381</v>
      </c>
      <c r="B90" s="1405" t="s">
        <v>2382</v>
      </c>
      <c r="C90" s="1407">
        <v>0.8</v>
      </c>
      <c r="D90" s="1407" t="s">
        <v>2376</v>
      </c>
    </row>
    <row r="91" spans="1:4">
      <c r="A91" s="1405" t="s">
        <v>2383</v>
      </c>
      <c r="B91" s="1405" t="s">
        <v>2384</v>
      </c>
      <c r="C91" s="1407">
        <v>0.5</v>
      </c>
      <c r="D91" s="1407">
        <v>0.5</v>
      </c>
    </row>
    <row r="92" spans="1:4" ht="52.8">
      <c r="A92" s="1405" t="s">
        <v>2385</v>
      </c>
      <c r="B92" s="1409" t="s">
        <v>2386</v>
      </c>
      <c r="C92" s="1407">
        <v>0.1</v>
      </c>
      <c r="D92" s="1407" t="s">
        <v>2387</v>
      </c>
    </row>
    <row r="93" spans="1:4" ht="52.8">
      <c r="A93" s="1405" t="s">
        <v>2385</v>
      </c>
      <c r="B93" s="1409" t="s">
        <v>2388</v>
      </c>
      <c r="C93" s="1407">
        <v>0.5</v>
      </c>
      <c r="D93" s="1407" t="s">
        <v>2389</v>
      </c>
    </row>
    <row r="94" spans="1:4" ht="39.6">
      <c r="A94" s="1405" t="s">
        <v>2385</v>
      </c>
      <c r="B94" s="1409" t="s">
        <v>2390</v>
      </c>
      <c r="C94" s="1407">
        <v>0.7</v>
      </c>
      <c r="D94" s="1407" t="s">
        <v>2391</v>
      </c>
    </row>
    <row r="95" spans="1:4">
      <c r="A95" s="1405" t="s">
        <v>2385</v>
      </c>
      <c r="B95" s="1405" t="s">
        <v>2392</v>
      </c>
      <c r="C95" s="1407">
        <v>0.1</v>
      </c>
      <c r="D95" s="1407">
        <v>0.1</v>
      </c>
    </row>
    <row r="96" spans="1:4" ht="14.4">
      <c r="A96" s="2612" t="s">
        <v>2393</v>
      </c>
      <c r="B96" s="2613"/>
      <c r="C96" s="2613"/>
      <c r="D96" s="2614"/>
    </row>
    <row r="97" spans="1:4">
      <c r="A97" s="413" t="s">
        <v>2394</v>
      </c>
    </row>
    <row r="100" spans="1:4" ht="14.4">
      <c r="A100" s="413" t="s">
        <v>2395</v>
      </c>
    </row>
    <row r="101" spans="1:4" ht="27.6">
      <c r="A101" s="1404" t="s">
        <v>2396</v>
      </c>
      <c r="B101" s="1410" t="s">
        <v>2397</v>
      </c>
      <c r="C101" s="1410" t="s">
        <v>2398</v>
      </c>
      <c r="D101" s="1410" t="s">
        <v>2399</v>
      </c>
    </row>
    <row r="102" spans="1:4">
      <c r="A102" s="414" t="s">
        <v>2400</v>
      </c>
      <c r="B102" s="416">
        <v>37</v>
      </c>
      <c r="C102" s="416" t="s">
        <v>2401</v>
      </c>
      <c r="D102" s="416">
        <v>1</v>
      </c>
    </row>
    <row r="103" spans="1:4">
      <c r="A103" s="414" t="s">
        <v>2402</v>
      </c>
      <c r="B103" s="416">
        <v>34</v>
      </c>
      <c r="C103" s="416" t="s">
        <v>2403</v>
      </c>
      <c r="D103" s="416">
        <v>1</v>
      </c>
    </row>
    <row r="104" spans="1:4">
      <c r="A104" s="414" t="s">
        <v>2404</v>
      </c>
      <c r="B104" s="416">
        <v>40</v>
      </c>
      <c r="C104" s="416" t="s">
        <v>2401</v>
      </c>
      <c r="D104" s="416">
        <v>1</v>
      </c>
    </row>
    <row r="105" spans="1:4">
      <c r="A105" s="414" t="s">
        <v>2405</v>
      </c>
      <c r="B105" s="416">
        <v>34</v>
      </c>
      <c r="C105" s="416" t="s">
        <v>2403</v>
      </c>
      <c r="D105" s="416">
        <v>1</v>
      </c>
    </row>
    <row r="106" spans="1:4">
      <c r="A106" s="414" t="s">
        <v>2406</v>
      </c>
      <c r="B106" s="416">
        <v>50</v>
      </c>
      <c r="C106" s="416" t="s">
        <v>2407</v>
      </c>
      <c r="D106" s="416">
        <v>1</v>
      </c>
    </row>
    <row r="107" spans="1:4">
      <c r="A107" s="414" t="s">
        <v>2408</v>
      </c>
      <c r="B107" s="416">
        <v>42</v>
      </c>
      <c r="C107" s="416" t="s">
        <v>2409</v>
      </c>
      <c r="D107" s="416">
        <v>1</v>
      </c>
    </row>
    <row r="108" spans="1:4">
      <c r="A108" s="414" t="s">
        <v>2410</v>
      </c>
      <c r="B108" s="416">
        <v>50</v>
      </c>
      <c r="C108" s="416" t="s">
        <v>2411</v>
      </c>
      <c r="D108" s="416">
        <v>2</v>
      </c>
    </row>
    <row r="109" spans="1:4">
      <c r="A109" s="414" t="s">
        <v>2412</v>
      </c>
      <c r="B109" s="416">
        <v>60</v>
      </c>
      <c r="C109" s="416" t="s">
        <v>2413</v>
      </c>
      <c r="D109" s="416">
        <v>1</v>
      </c>
    </row>
    <row r="110" spans="1:4">
      <c r="A110" s="414" t="s">
        <v>2414</v>
      </c>
      <c r="B110" s="416">
        <v>62</v>
      </c>
      <c r="C110" s="416" t="s">
        <v>2415</v>
      </c>
      <c r="D110" s="416">
        <v>1</v>
      </c>
    </row>
    <row r="111" spans="1:4">
      <c r="A111" s="414" t="s">
        <v>2416</v>
      </c>
      <c r="B111" s="416">
        <v>62</v>
      </c>
      <c r="C111" s="416" t="s">
        <v>2415</v>
      </c>
      <c r="D111" s="416">
        <v>1</v>
      </c>
    </row>
    <row r="112" spans="1:4">
      <c r="A112" s="414" t="s">
        <v>2417</v>
      </c>
      <c r="B112" s="416">
        <v>57</v>
      </c>
      <c r="C112" s="416" t="s">
        <v>2418</v>
      </c>
      <c r="D112" s="416">
        <v>1</v>
      </c>
    </row>
    <row r="113" spans="1:4">
      <c r="A113" s="414" t="s">
        <v>2419</v>
      </c>
      <c r="B113" s="416">
        <v>60</v>
      </c>
      <c r="C113" s="416" t="s">
        <v>2420</v>
      </c>
      <c r="D113" s="416">
        <v>3</v>
      </c>
    </row>
    <row r="114" spans="1:4">
      <c r="A114" s="414" t="s">
        <v>2421</v>
      </c>
      <c r="B114" s="416">
        <v>75</v>
      </c>
      <c r="C114" s="416" t="s">
        <v>2422</v>
      </c>
      <c r="D114" s="416">
        <v>1</v>
      </c>
    </row>
    <row r="115" spans="1:4">
      <c r="A115" s="414" t="s">
        <v>2423</v>
      </c>
      <c r="B115" s="416">
        <v>38</v>
      </c>
      <c r="C115" s="416" t="s">
        <v>2424</v>
      </c>
      <c r="D115" s="416">
        <v>1</v>
      </c>
    </row>
    <row r="116" spans="1:4">
      <c r="A116" s="414" t="s">
        <v>2425</v>
      </c>
      <c r="B116" s="416">
        <v>85</v>
      </c>
      <c r="C116" s="416" t="s">
        <v>2426</v>
      </c>
      <c r="D116" s="416">
        <v>4</v>
      </c>
    </row>
    <row r="117" spans="1:4">
      <c r="A117" s="2615" t="s">
        <v>2427</v>
      </c>
      <c r="B117" s="2615"/>
      <c r="C117" s="2615"/>
      <c r="D117" s="2615"/>
    </row>
    <row r="118" spans="1:4" ht="14.4">
      <c r="A118" s="413" t="s">
        <v>2428</v>
      </c>
    </row>
  </sheetData>
  <mergeCells count="24">
    <mergeCell ref="A4:A5"/>
    <mergeCell ref="B4:C4"/>
    <mergeCell ref="A44:B46"/>
    <mergeCell ref="C44:E44"/>
    <mergeCell ref="D64:E64"/>
    <mergeCell ref="A37:A38"/>
    <mergeCell ref="B37:C37"/>
    <mergeCell ref="D37:E37"/>
    <mergeCell ref="A54:B54"/>
    <mergeCell ref="D61:E61"/>
    <mergeCell ref="D62:E62"/>
    <mergeCell ref="A47:B47"/>
    <mergeCell ref="A48:B48"/>
    <mergeCell ref="A49:B49"/>
    <mergeCell ref="A50:B50"/>
    <mergeCell ref="A51:B51"/>
    <mergeCell ref="A84:D84"/>
    <mergeCell ref="A96:D96"/>
    <mergeCell ref="A117:D117"/>
    <mergeCell ref="A52:B52"/>
    <mergeCell ref="A53:B53"/>
    <mergeCell ref="A55:B55"/>
    <mergeCell ref="A56:B56"/>
    <mergeCell ref="A80:D8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2" tint="-0.499984740745262"/>
  </sheetPr>
  <dimension ref="A1:BB162"/>
  <sheetViews>
    <sheetView showGridLines="0" view="pageBreakPreview" topLeftCell="F1" zoomScale="60" zoomScaleNormal="40" workbookViewId="0">
      <selection activeCell="M18" sqref="M18"/>
    </sheetView>
  </sheetViews>
  <sheetFormatPr defaultColWidth="9" defaultRowHeight="13.2"/>
  <cols>
    <col min="1" max="1" width="15.44140625" style="437" customWidth="1"/>
    <col min="2" max="4" width="30.44140625" style="436" customWidth="1"/>
    <col min="5" max="5" width="30.44140625" style="437" customWidth="1"/>
    <col min="6" max="6" width="16.44140625" style="437" customWidth="1"/>
    <col min="7" max="8" width="25.44140625" style="437" customWidth="1"/>
    <col min="9" max="10" width="25.44140625" style="436" customWidth="1"/>
    <col min="11" max="11" width="27.44140625" style="436" bestFit="1" customWidth="1"/>
    <col min="12" max="13" width="25.44140625" style="436" customWidth="1"/>
    <col min="14" max="14" width="29" style="436" bestFit="1" customWidth="1"/>
    <col min="15" max="15" width="32.44140625" style="436" bestFit="1" customWidth="1"/>
    <col min="16" max="18" width="25.44140625" style="437" customWidth="1"/>
    <col min="19" max="19" width="40.44140625" style="437" bestFit="1" customWidth="1"/>
    <col min="20" max="20" width="44.33203125" style="437" bestFit="1" customWidth="1"/>
    <col min="21" max="22" width="25.44140625" style="437" customWidth="1"/>
    <col min="23" max="23" width="27.44140625" style="437" bestFit="1" customWidth="1"/>
    <col min="24" max="25" width="25.44140625" style="437" customWidth="1"/>
    <col min="26" max="27" width="35.33203125" style="437" customWidth="1"/>
    <col min="28" max="29" width="25.44140625" style="437" customWidth="1"/>
    <col min="30" max="30" width="46" style="437" customWidth="1"/>
    <col min="31" max="31" width="25.44140625" style="437" customWidth="1"/>
    <col min="32" max="32" width="40.44140625" style="437" bestFit="1" customWidth="1"/>
    <col min="33" max="33" width="44.33203125" style="437" bestFit="1" customWidth="1"/>
    <col min="34" max="35" width="25.44140625" style="437" customWidth="1"/>
    <col min="36" max="36" width="27.44140625" style="437" bestFit="1" customWidth="1"/>
    <col min="37" max="37" width="14.44140625" style="437" bestFit="1" customWidth="1"/>
    <col min="38" max="38" width="21.44140625" style="437" bestFit="1" customWidth="1"/>
    <col min="39" max="39" width="29" style="437" bestFit="1" customWidth="1"/>
    <col min="40" max="40" width="32.44140625" style="437" bestFit="1" customWidth="1"/>
    <col min="41" max="42" width="25.44140625" style="437" customWidth="1"/>
    <col min="43" max="43" width="9" style="437"/>
    <col min="44" max="44" width="13.33203125" style="437" customWidth="1"/>
    <col min="45" max="45" width="17.44140625" style="437" customWidth="1"/>
    <col min="46" max="47" width="12.44140625" style="437" customWidth="1"/>
    <col min="48" max="48" width="13.44140625" style="437" customWidth="1"/>
    <col min="49" max="49" width="12.33203125" style="437" customWidth="1"/>
    <col min="50" max="50" width="11.44140625" style="437" customWidth="1"/>
    <col min="51" max="51" width="15.44140625" style="437" customWidth="1"/>
    <col min="52" max="52" width="16.44140625" style="437" customWidth="1"/>
    <col min="53" max="53" width="11.44140625" style="437" customWidth="1"/>
    <col min="54" max="16384" width="9" style="437"/>
  </cols>
  <sheetData>
    <row r="1" spans="1:15" s="433" customFormat="1">
      <c r="A1" s="431" t="s">
        <v>1844</v>
      </c>
      <c r="B1" s="432"/>
      <c r="C1" s="432"/>
      <c r="D1" s="432"/>
      <c r="I1" s="432"/>
      <c r="J1" s="432"/>
      <c r="K1" s="432"/>
      <c r="L1" s="432"/>
      <c r="M1" s="432"/>
      <c r="N1" s="432"/>
      <c r="O1" s="432"/>
    </row>
    <row r="2" spans="1:15" s="434" customFormat="1">
      <c r="B2" s="435"/>
      <c r="C2" s="435"/>
      <c r="D2" s="435"/>
      <c r="I2" s="435"/>
      <c r="J2" s="435"/>
      <c r="K2" s="435"/>
      <c r="L2" s="435"/>
      <c r="M2" s="435"/>
      <c r="N2" s="435"/>
      <c r="O2" s="435"/>
    </row>
    <row r="3" spans="1:15" ht="14.4">
      <c r="A3" s="453" t="s">
        <v>1845</v>
      </c>
    </row>
    <row r="4" spans="1:15" ht="38.25" customHeight="1">
      <c r="A4" s="2624" t="s">
        <v>1846</v>
      </c>
      <c r="B4" s="2638" t="s">
        <v>1847</v>
      </c>
      <c r="C4" s="2638"/>
      <c r="D4" s="2638" t="s">
        <v>1848</v>
      </c>
      <c r="E4" s="2639"/>
    </row>
    <row r="5" spans="1:15" ht="14.4">
      <c r="A5" s="2625"/>
      <c r="B5" s="811" t="s">
        <v>1849</v>
      </c>
      <c r="C5" s="812" t="s">
        <v>1850</v>
      </c>
      <c r="D5" s="811" t="s">
        <v>1849</v>
      </c>
      <c r="E5" s="813" t="s">
        <v>1850</v>
      </c>
    </row>
    <row r="6" spans="1:15">
      <c r="A6" s="460" t="s">
        <v>1851</v>
      </c>
      <c r="B6" s="436">
        <v>68</v>
      </c>
      <c r="C6" s="438">
        <v>56.41</v>
      </c>
      <c r="D6" s="436">
        <v>31</v>
      </c>
      <c r="E6" s="439">
        <v>12.58</v>
      </c>
    </row>
    <row r="7" spans="1:15">
      <c r="A7" s="460" t="s">
        <v>1852</v>
      </c>
      <c r="B7" s="436">
        <v>47</v>
      </c>
      <c r="C7" s="438">
        <v>42.7</v>
      </c>
      <c r="D7" s="436">
        <v>1</v>
      </c>
      <c r="E7" s="439">
        <v>2.54</v>
      </c>
    </row>
    <row r="8" spans="1:15">
      <c r="A8" s="460" t="s">
        <v>1853</v>
      </c>
      <c r="B8" s="436">
        <v>55</v>
      </c>
      <c r="C8" s="438">
        <v>59.91</v>
      </c>
      <c r="D8" s="436">
        <v>2</v>
      </c>
      <c r="E8" s="439">
        <v>2.12</v>
      </c>
    </row>
    <row r="9" spans="1:15">
      <c r="A9" s="460" t="s">
        <v>1854</v>
      </c>
      <c r="B9" s="436">
        <v>5</v>
      </c>
      <c r="C9" s="438" t="s">
        <v>1855</v>
      </c>
      <c r="D9" s="436">
        <v>0.2</v>
      </c>
      <c r="E9" s="440" t="s">
        <v>1855</v>
      </c>
    </row>
    <row r="10" spans="1:15">
      <c r="A10" s="460" t="s">
        <v>1856</v>
      </c>
      <c r="B10" s="436">
        <v>5</v>
      </c>
      <c r="C10" s="438" t="s">
        <v>1855</v>
      </c>
      <c r="D10" s="436">
        <v>0.22</v>
      </c>
      <c r="E10" s="440" t="s">
        <v>1855</v>
      </c>
    </row>
    <row r="11" spans="1:15">
      <c r="A11" s="460" t="s">
        <v>1857</v>
      </c>
      <c r="B11" s="436">
        <v>46</v>
      </c>
      <c r="C11" s="438" t="s">
        <v>1855</v>
      </c>
      <c r="D11" s="436">
        <v>2.56</v>
      </c>
      <c r="E11" s="440" t="s">
        <v>1855</v>
      </c>
    </row>
    <row r="12" spans="1:15">
      <c r="A12" s="460" t="s">
        <v>1858</v>
      </c>
      <c r="B12" s="436">
        <v>18</v>
      </c>
      <c r="C12" s="438" t="s">
        <v>1855</v>
      </c>
      <c r="D12" s="436">
        <v>2.19</v>
      </c>
      <c r="E12" s="440" t="s">
        <v>1855</v>
      </c>
    </row>
    <row r="13" spans="1:15">
      <c r="A13" s="460" t="s">
        <v>1859</v>
      </c>
      <c r="B13" s="436" t="s">
        <v>1855</v>
      </c>
      <c r="C13" s="438" t="s">
        <v>1855</v>
      </c>
      <c r="D13" s="436" t="s">
        <v>1855</v>
      </c>
      <c r="E13" s="440" t="s">
        <v>1855</v>
      </c>
    </row>
    <row r="14" spans="1:15">
      <c r="A14" s="460" t="s">
        <v>1860</v>
      </c>
      <c r="B14" s="436">
        <v>1</v>
      </c>
      <c r="C14" s="438" t="s">
        <v>1855</v>
      </c>
      <c r="D14" s="436">
        <v>7</v>
      </c>
      <c r="E14" s="439">
        <v>2.52</v>
      </c>
    </row>
    <row r="15" spans="1:15">
      <c r="A15" s="460" t="s">
        <v>1861</v>
      </c>
      <c r="B15" s="436">
        <v>20</v>
      </c>
      <c r="C15" s="438" t="s">
        <v>1855</v>
      </c>
      <c r="D15" s="441">
        <v>0.22</v>
      </c>
      <c r="E15" s="440" t="s">
        <v>1855</v>
      </c>
    </row>
    <row r="16" spans="1:15">
      <c r="A16" s="460" t="s">
        <v>1862</v>
      </c>
      <c r="B16" s="436" t="s">
        <v>1855</v>
      </c>
      <c r="C16" s="438" t="s">
        <v>1855</v>
      </c>
      <c r="D16" s="436" t="s">
        <v>1855</v>
      </c>
      <c r="E16" s="440" t="s">
        <v>1855</v>
      </c>
    </row>
    <row r="17" spans="1:54">
      <c r="A17" s="460" t="s">
        <v>1863</v>
      </c>
      <c r="B17" s="436" t="s">
        <v>1855</v>
      </c>
      <c r="C17" s="438" t="s">
        <v>1855</v>
      </c>
      <c r="D17" s="436">
        <v>0.2</v>
      </c>
      <c r="E17" s="439">
        <v>2.3E-2</v>
      </c>
    </row>
    <row r="18" spans="1:54">
      <c r="A18" s="460" t="s">
        <v>1864</v>
      </c>
      <c r="B18" s="436" t="s">
        <v>1855</v>
      </c>
      <c r="C18" s="438" t="s">
        <v>1855</v>
      </c>
      <c r="D18" s="436">
        <v>0.2</v>
      </c>
      <c r="E18" s="439">
        <v>2.3E-2</v>
      </c>
    </row>
    <row r="19" spans="1:54">
      <c r="A19" s="460" t="s">
        <v>1865</v>
      </c>
      <c r="B19" s="436" t="s">
        <v>1855</v>
      </c>
      <c r="C19" s="438" t="s">
        <v>1855</v>
      </c>
      <c r="D19" s="436">
        <v>0.2</v>
      </c>
      <c r="E19" s="439">
        <v>2.3E-2</v>
      </c>
    </row>
    <row r="20" spans="1:54">
      <c r="A20" s="460" t="s">
        <v>1866</v>
      </c>
      <c r="B20" s="436" t="s">
        <v>1855</v>
      </c>
      <c r="C20" s="438" t="s">
        <v>1855</v>
      </c>
      <c r="D20" s="436">
        <v>0.2</v>
      </c>
      <c r="E20" s="439">
        <v>2.3E-2</v>
      </c>
    </row>
    <row r="21" spans="1:54">
      <c r="A21" s="460" t="s">
        <v>1867</v>
      </c>
      <c r="B21" s="436" t="s">
        <v>1855</v>
      </c>
      <c r="C21" s="438" t="s">
        <v>1855</v>
      </c>
      <c r="D21" s="436" t="s">
        <v>1855</v>
      </c>
      <c r="E21" s="440" t="s">
        <v>1855</v>
      </c>
    </row>
    <row r="22" spans="1:54">
      <c r="A22" s="473" t="s">
        <v>1868</v>
      </c>
      <c r="B22" s="814" t="s">
        <v>1855</v>
      </c>
      <c r="C22" s="815" t="s">
        <v>1855</v>
      </c>
      <c r="D22" s="814" t="s">
        <v>1855</v>
      </c>
      <c r="E22" s="816" t="s">
        <v>1855</v>
      </c>
    </row>
    <row r="23" spans="1:54">
      <c r="A23" s="2629" t="s">
        <v>1869</v>
      </c>
      <c r="B23" s="2629"/>
      <c r="C23" s="2629"/>
      <c r="D23" s="2629"/>
      <c r="E23" s="737"/>
    </row>
    <row r="24" spans="1:54" ht="14.4">
      <c r="A24" s="437" t="s">
        <v>1870</v>
      </c>
    </row>
    <row r="25" spans="1:54" ht="14.4">
      <c r="A25" s="437" t="s">
        <v>1871</v>
      </c>
      <c r="B25" s="437"/>
      <c r="C25" s="437"/>
      <c r="D25" s="437"/>
    </row>
    <row r="26" spans="1:54">
      <c r="B26" s="437"/>
      <c r="C26" s="437"/>
      <c r="D26" s="437"/>
    </row>
    <row r="27" spans="1:54" ht="14.4">
      <c r="A27" s="437" t="s">
        <v>1872</v>
      </c>
      <c r="B27" s="437"/>
      <c r="C27" s="437"/>
      <c r="D27" s="437"/>
    </row>
    <row r="28" spans="1:54" ht="26.4">
      <c r="A28" s="2624" t="s">
        <v>1150</v>
      </c>
      <c r="B28" s="2626"/>
      <c r="C28" s="455" t="s">
        <v>1873</v>
      </c>
      <c r="D28" s="891" t="s">
        <v>1874</v>
      </c>
      <c r="E28" s="2626" t="s">
        <v>1875</v>
      </c>
      <c r="F28" s="2640"/>
      <c r="G28" s="2624" t="s">
        <v>1876</v>
      </c>
      <c r="H28" s="2626"/>
      <c r="I28" s="2626"/>
      <c r="J28" s="2626"/>
      <c r="K28" s="2626"/>
      <c r="L28" s="2626"/>
      <c r="M28" s="2626"/>
      <c r="N28" s="2626"/>
      <c r="O28" s="2626"/>
      <c r="P28" s="2626"/>
      <c r="Q28" s="2640"/>
      <c r="R28" s="2635" t="s">
        <v>1877</v>
      </c>
      <c r="S28" s="2636"/>
      <c r="T28" s="2636"/>
      <c r="U28" s="2636"/>
      <c r="V28" s="2636"/>
      <c r="W28" s="2636"/>
      <c r="X28" s="2636"/>
      <c r="Y28" s="2636"/>
      <c r="Z28" s="2636"/>
      <c r="AA28" s="2636"/>
      <c r="AB28" s="2636"/>
      <c r="AC28" s="2636"/>
      <c r="AD28" s="2630" t="s">
        <v>1878</v>
      </c>
      <c r="AE28" s="2635" t="s">
        <v>1879</v>
      </c>
      <c r="AF28" s="2636"/>
      <c r="AG28" s="2636"/>
      <c r="AH28" s="2636"/>
      <c r="AI28" s="2636"/>
      <c r="AJ28" s="2636"/>
      <c r="AK28" s="2636"/>
      <c r="AL28" s="2636"/>
      <c r="AM28" s="2636"/>
      <c r="AN28" s="2636"/>
      <c r="AO28" s="2636"/>
      <c r="AP28" s="2637"/>
      <c r="AQ28" s="817"/>
      <c r="AR28" s="442"/>
      <c r="AS28" s="442"/>
      <c r="AT28" s="442"/>
      <c r="AU28" s="442"/>
      <c r="AV28" s="442"/>
      <c r="AW28" s="442"/>
      <c r="AX28" s="442"/>
      <c r="AY28" s="442"/>
      <c r="AZ28" s="442"/>
      <c r="BA28" s="442"/>
      <c r="BB28" s="442"/>
    </row>
    <row r="29" spans="1:54" ht="14.4">
      <c r="A29" s="2627"/>
      <c r="B29" s="2628"/>
      <c r="C29" s="454" t="s">
        <v>1880</v>
      </c>
      <c r="D29" s="890" t="s">
        <v>309</v>
      </c>
      <c r="E29" s="2628" t="s">
        <v>1881</v>
      </c>
      <c r="F29" s="2648"/>
      <c r="G29" s="456" t="s">
        <v>1882</v>
      </c>
      <c r="H29" s="127" t="s">
        <v>1883</v>
      </c>
      <c r="I29" s="127" t="s">
        <v>1884</v>
      </c>
      <c r="J29" s="127" t="s">
        <v>1885</v>
      </c>
      <c r="K29" s="457" t="s">
        <v>1886</v>
      </c>
      <c r="L29" s="127" t="s">
        <v>1887</v>
      </c>
      <c r="M29" s="457" t="s">
        <v>1888</v>
      </c>
      <c r="N29" s="457" t="s">
        <v>1889</v>
      </c>
      <c r="O29" s="457" t="s">
        <v>1890</v>
      </c>
      <c r="P29" s="457" t="s">
        <v>1891</v>
      </c>
      <c r="Q29" s="443" t="s">
        <v>1892</v>
      </c>
      <c r="R29" s="127" t="s">
        <v>1882</v>
      </c>
      <c r="S29" s="457" t="s">
        <v>1893</v>
      </c>
      <c r="T29" s="457" t="s">
        <v>1894</v>
      </c>
      <c r="U29" s="127" t="s">
        <v>1884</v>
      </c>
      <c r="V29" s="127" t="s">
        <v>1885</v>
      </c>
      <c r="W29" s="457" t="s">
        <v>1886</v>
      </c>
      <c r="X29" s="127" t="s">
        <v>1887</v>
      </c>
      <c r="Y29" s="457" t="s">
        <v>1888</v>
      </c>
      <c r="Z29" s="457" t="s">
        <v>1889</v>
      </c>
      <c r="AA29" s="457" t="s">
        <v>1890</v>
      </c>
      <c r="AB29" s="457" t="s">
        <v>1891</v>
      </c>
      <c r="AC29" s="127" t="s">
        <v>1892</v>
      </c>
      <c r="AD29" s="2631"/>
      <c r="AE29" s="127" t="s">
        <v>1882</v>
      </c>
      <c r="AF29" s="457" t="s">
        <v>1893</v>
      </c>
      <c r="AG29" s="457" t="s">
        <v>1894</v>
      </c>
      <c r="AH29" s="127" t="s">
        <v>1884</v>
      </c>
      <c r="AI29" s="127" t="s">
        <v>1885</v>
      </c>
      <c r="AJ29" s="457" t="s">
        <v>1886</v>
      </c>
      <c r="AK29" s="127" t="s">
        <v>1887</v>
      </c>
      <c r="AL29" s="457" t="s">
        <v>1888</v>
      </c>
      <c r="AM29" s="457" t="s">
        <v>1889</v>
      </c>
      <c r="AN29" s="457" t="s">
        <v>1890</v>
      </c>
      <c r="AO29" s="457" t="s">
        <v>1891</v>
      </c>
      <c r="AP29" s="443" t="s">
        <v>1892</v>
      </c>
      <c r="AQ29" s="862"/>
      <c r="AR29" s="611"/>
      <c r="AS29" s="611"/>
      <c r="AT29" s="103"/>
      <c r="AU29" s="103"/>
      <c r="AV29" s="611"/>
      <c r="AW29" s="103"/>
      <c r="AX29" s="611"/>
      <c r="AY29" s="611"/>
      <c r="AZ29" s="611"/>
      <c r="BA29" s="611"/>
      <c r="BB29" s="103"/>
    </row>
    <row r="30" spans="1:54" ht="15">
      <c r="A30" s="2627"/>
      <c r="B30" s="2628"/>
      <c r="C30" s="458" t="s">
        <v>1895</v>
      </c>
      <c r="D30" s="459" t="s">
        <v>1896</v>
      </c>
      <c r="E30" s="459" t="s">
        <v>1897</v>
      </c>
      <c r="F30" s="444" t="s">
        <v>1898</v>
      </c>
      <c r="G30" s="2642" t="s">
        <v>1899</v>
      </c>
      <c r="H30" s="2643"/>
      <c r="I30" s="2643"/>
      <c r="J30" s="2643"/>
      <c r="K30" s="2643"/>
      <c r="L30" s="2643"/>
      <c r="M30" s="2643"/>
      <c r="N30" s="2643"/>
      <c r="O30" s="2643"/>
      <c r="P30" s="2643"/>
      <c r="Q30" s="2644"/>
      <c r="R30" s="2641" t="s">
        <v>1900</v>
      </c>
      <c r="S30" s="2633"/>
      <c r="T30" s="2633"/>
      <c r="U30" s="2633"/>
      <c r="V30" s="2633"/>
      <c r="W30" s="2633"/>
      <c r="X30" s="2633"/>
      <c r="Y30" s="2633"/>
      <c r="Z30" s="2633"/>
      <c r="AA30" s="2633"/>
      <c r="AB30" s="2633"/>
      <c r="AC30" s="2633"/>
      <c r="AD30" s="2631"/>
      <c r="AE30" s="2632" t="s">
        <v>1901</v>
      </c>
      <c r="AF30" s="2633"/>
      <c r="AG30" s="2633"/>
      <c r="AH30" s="2633"/>
      <c r="AI30" s="2633"/>
      <c r="AJ30" s="2633"/>
      <c r="AK30" s="2633"/>
      <c r="AL30" s="2633"/>
      <c r="AM30" s="2633"/>
      <c r="AN30" s="2633"/>
      <c r="AO30" s="2633"/>
      <c r="AP30" s="2634"/>
      <c r="AQ30" s="818"/>
      <c r="AR30" s="445"/>
      <c r="AS30" s="445"/>
      <c r="AT30" s="445"/>
      <c r="AU30" s="445"/>
      <c r="AV30" s="445"/>
      <c r="AW30" s="445"/>
      <c r="AX30" s="445"/>
      <c r="AY30" s="445"/>
      <c r="AZ30" s="445"/>
      <c r="BA30" s="445"/>
      <c r="BB30" s="445"/>
    </row>
    <row r="31" spans="1:54">
      <c r="A31" s="460" t="s">
        <v>1902</v>
      </c>
      <c r="B31" s="437" t="s">
        <v>1851</v>
      </c>
      <c r="C31" s="461">
        <f t="shared" ref="C31:C39" si="0">IFERROR(VLOOKUP($A31,MMS_Lagoon,3,FALSE),"n/a")</f>
        <v>0.47</v>
      </c>
      <c r="D31" s="462">
        <f t="shared" ref="D31:D41" si="1">IFERROR(VLOOKUP($A31,MMS_Liquid,4,FALSE),"n/a")</f>
        <v>350</v>
      </c>
      <c r="E31" s="462">
        <f>IFERROR(C31*D31*10^-3*365,"n/a")</f>
        <v>60.042500000000004</v>
      </c>
      <c r="F31" s="446">
        <v>44.56</v>
      </c>
      <c r="G31" s="463">
        <v>7.0000000000000007E-2</v>
      </c>
      <c r="H31" s="464">
        <v>0</v>
      </c>
      <c r="I31" s="465">
        <v>0.23</v>
      </c>
      <c r="J31" s="465">
        <v>0.14000000000000001</v>
      </c>
      <c r="K31" s="465">
        <v>0.05</v>
      </c>
      <c r="L31" s="465">
        <v>0.51</v>
      </c>
      <c r="M31" s="465">
        <v>0</v>
      </c>
      <c r="N31" s="465">
        <v>0</v>
      </c>
      <c r="O31" s="465">
        <v>0</v>
      </c>
      <c r="P31" s="464">
        <v>0</v>
      </c>
      <c r="Q31" s="446">
        <v>0</v>
      </c>
      <c r="R31" s="437">
        <v>0</v>
      </c>
      <c r="S31" s="437">
        <v>5.0000000000000001E-3</v>
      </c>
      <c r="T31" s="437">
        <v>0</v>
      </c>
      <c r="U31" s="437">
        <v>5.0000000000000001E-3</v>
      </c>
      <c r="V31" s="437">
        <v>0.02</v>
      </c>
      <c r="W31" s="437">
        <v>0.02</v>
      </c>
      <c r="X31" s="437">
        <v>0</v>
      </c>
      <c r="Y31" s="437">
        <v>0</v>
      </c>
      <c r="Z31" s="437">
        <v>1E-3</v>
      </c>
      <c r="AA31" s="437">
        <v>1E-3</v>
      </c>
      <c r="AD31" s="466">
        <f>44/28</f>
        <v>1.5714285714285714</v>
      </c>
      <c r="AE31" s="467">
        <f>IFERROR($F31*G31*R31*$AD31,"n/a")</f>
        <v>0</v>
      </c>
      <c r="AF31" s="468">
        <f>IFERROR($F31*H31*S31*$AD31,"n/a")</f>
        <v>0</v>
      </c>
      <c r="AG31" s="468">
        <f t="shared" ref="AG31:AP46" si="2">IFERROR($F31*I31*T31*$AD31,"n/a")</f>
        <v>0</v>
      </c>
      <c r="AH31" s="468">
        <f t="shared" si="2"/>
        <v>4.9016000000000011E-2</v>
      </c>
      <c r="AI31" s="468">
        <f t="shared" si="2"/>
        <v>7.0022857142857151E-2</v>
      </c>
      <c r="AJ31" s="468">
        <f>IFERROR($F31*L31*W31*$AD31,"n/a")</f>
        <v>0.7142331428571429</v>
      </c>
      <c r="AK31" s="468">
        <f t="shared" si="2"/>
        <v>0</v>
      </c>
      <c r="AL31" s="468">
        <f t="shared" si="2"/>
        <v>0</v>
      </c>
      <c r="AM31" s="468">
        <f t="shared" si="2"/>
        <v>0</v>
      </c>
      <c r="AN31" s="468">
        <f t="shared" si="2"/>
        <v>0</v>
      </c>
      <c r="AO31" s="468">
        <f t="shared" si="2"/>
        <v>0</v>
      </c>
      <c r="AP31" s="469">
        <f t="shared" si="2"/>
        <v>0</v>
      </c>
      <c r="AQ31" s="460"/>
    </row>
    <row r="32" spans="1:54">
      <c r="A32" s="460" t="s">
        <v>1903</v>
      </c>
      <c r="B32" s="437" t="s">
        <v>1852</v>
      </c>
      <c r="C32" s="461">
        <f t="shared" si="0"/>
        <v>0.34</v>
      </c>
      <c r="D32" s="462">
        <f t="shared" si="1"/>
        <v>319</v>
      </c>
      <c r="E32" s="462">
        <f t="shared" ref="E32:E37" si="3">IFERROR(C32*D32*10^-3*365,"n/a")</f>
        <v>39.587900000000005</v>
      </c>
      <c r="F32" s="446">
        <v>31.19</v>
      </c>
      <c r="G32" s="463">
        <v>0</v>
      </c>
      <c r="H32" s="464">
        <v>0</v>
      </c>
      <c r="I32" s="465">
        <v>0.5</v>
      </c>
      <c r="J32" s="465">
        <v>0</v>
      </c>
      <c r="K32" s="465">
        <v>0.5</v>
      </c>
      <c r="L32" s="465">
        <v>0</v>
      </c>
      <c r="M32" s="465">
        <v>0</v>
      </c>
      <c r="N32" s="465">
        <v>0</v>
      </c>
      <c r="O32" s="465">
        <v>0</v>
      </c>
      <c r="P32" s="464">
        <v>0</v>
      </c>
      <c r="Q32" s="446">
        <v>0</v>
      </c>
      <c r="R32" s="437">
        <v>0</v>
      </c>
      <c r="S32" s="437">
        <v>5.0000000000000001E-3</v>
      </c>
      <c r="T32" s="437">
        <v>0</v>
      </c>
      <c r="U32" s="437">
        <v>5.0000000000000001E-3</v>
      </c>
      <c r="V32" s="437">
        <v>0.02</v>
      </c>
      <c r="W32" s="437">
        <v>0.02</v>
      </c>
      <c r="X32" s="437">
        <v>0</v>
      </c>
      <c r="Y32" s="437">
        <v>0</v>
      </c>
      <c r="Z32" s="437">
        <v>1E-3</v>
      </c>
      <c r="AA32" s="437">
        <v>1E-3</v>
      </c>
      <c r="AD32" s="466">
        <f t="shared" ref="AD32:AD48" si="4">44/28</f>
        <v>1.5714285714285714</v>
      </c>
      <c r="AE32" s="467">
        <f>IFERROR($F32*G32*R32*$AD32,"n/a")</f>
        <v>0</v>
      </c>
      <c r="AF32" s="468">
        <f t="shared" ref="AF32:AF48" si="5">IFERROR($F32*H32*S32*$AD32,"n/a")</f>
        <v>0</v>
      </c>
      <c r="AG32" s="468">
        <f t="shared" si="2"/>
        <v>0</v>
      </c>
      <c r="AH32" s="468">
        <f t="shared" si="2"/>
        <v>0</v>
      </c>
      <c r="AI32" s="468">
        <f t="shared" si="2"/>
        <v>0.49012857142857141</v>
      </c>
      <c r="AJ32" s="468">
        <f t="shared" si="2"/>
        <v>0</v>
      </c>
      <c r="AK32" s="468">
        <f t="shared" si="2"/>
        <v>0</v>
      </c>
      <c r="AL32" s="468">
        <f t="shared" si="2"/>
        <v>0</v>
      </c>
      <c r="AM32" s="468">
        <f t="shared" si="2"/>
        <v>0</v>
      </c>
      <c r="AN32" s="468">
        <f t="shared" si="2"/>
        <v>0</v>
      </c>
      <c r="AO32" s="468">
        <f t="shared" si="2"/>
        <v>0</v>
      </c>
      <c r="AP32" s="469">
        <f t="shared" si="2"/>
        <v>0</v>
      </c>
      <c r="AQ32" s="460"/>
    </row>
    <row r="33" spans="1:43">
      <c r="A33" s="460" t="s">
        <v>1904</v>
      </c>
      <c r="B33" s="437" t="s">
        <v>1853</v>
      </c>
      <c r="C33" s="461">
        <f t="shared" si="0"/>
        <v>0.32</v>
      </c>
      <c r="D33" s="462">
        <f t="shared" si="1"/>
        <v>380</v>
      </c>
      <c r="E33" s="462">
        <f t="shared" si="3"/>
        <v>44.384000000000007</v>
      </c>
      <c r="F33" s="446">
        <v>9.48</v>
      </c>
      <c r="G33" s="463">
        <v>0</v>
      </c>
      <c r="H33" s="464">
        <v>0</v>
      </c>
      <c r="I33" s="465">
        <v>0.25</v>
      </c>
      <c r="J33" s="465">
        <v>0.25</v>
      </c>
      <c r="K33" s="465">
        <v>0.5</v>
      </c>
      <c r="L33" s="465">
        <v>0</v>
      </c>
      <c r="M33" s="465">
        <v>0</v>
      </c>
      <c r="N33" s="465">
        <v>0</v>
      </c>
      <c r="O33" s="465">
        <v>0</v>
      </c>
      <c r="P33" s="464">
        <v>0</v>
      </c>
      <c r="Q33" s="446">
        <v>0</v>
      </c>
      <c r="R33" s="437">
        <v>0</v>
      </c>
      <c r="S33" s="437">
        <v>5.0000000000000001E-3</v>
      </c>
      <c r="T33" s="437">
        <v>0</v>
      </c>
      <c r="U33" s="437">
        <v>5.0000000000000001E-3</v>
      </c>
      <c r="V33" s="437">
        <v>0.02</v>
      </c>
      <c r="W33" s="437">
        <v>0.02</v>
      </c>
      <c r="X33" s="437">
        <v>0</v>
      </c>
      <c r="Y33" s="437">
        <v>0</v>
      </c>
      <c r="Z33" s="437">
        <v>1E-3</v>
      </c>
      <c r="AA33" s="437">
        <v>1E-3</v>
      </c>
      <c r="AD33" s="466">
        <f t="shared" si="4"/>
        <v>1.5714285714285714</v>
      </c>
      <c r="AE33" s="467">
        <f t="shared" ref="AE33:AE48" si="6">IFERROR($F33*G33*R33*$AD33,"n/a")</f>
        <v>0</v>
      </c>
      <c r="AF33" s="468">
        <f t="shared" si="5"/>
        <v>0</v>
      </c>
      <c r="AG33" s="468">
        <f t="shared" si="2"/>
        <v>0</v>
      </c>
      <c r="AH33" s="468">
        <f t="shared" si="2"/>
        <v>1.8621428571428573E-2</v>
      </c>
      <c r="AI33" s="468">
        <f t="shared" si="2"/>
        <v>0.14897142857142859</v>
      </c>
      <c r="AJ33" s="468">
        <f t="shared" si="2"/>
        <v>0</v>
      </c>
      <c r="AK33" s="468">
        <f t="shared" si="2"/>
        <v>0</v>
      </c>
      <c r="AL33" s="468">
        <f t="shared" si="2"/>
        <v>0</v>
      </c>
      <c r="AM33" s="468">
        <f t="shared" si="2"/>
        <v>0</v>
      </c>
      <c r="AN33" s="468">
        <f t="shared" si="2"/>
        <v>0</v>
      </c>
      <c r="AO33" s="468">
        <f t="shared" si="2"/>
        <v>0</v>
      </c>
      <c r="AP33" s="469">
        <f t="shared" si="2"/>
        <v>0</v>
      </c>
      <c r="AQ33" s="460"/>
    </row>
    <row r="34" spans="1:43">
      <c r="A34" s="460" t="s">
        <v>1905</v>
      </c>
      <c r="B34" s="437" t="s">
        <v>1854</v>
      </c>
      <c r="C34" s="461">
        <f t="shared" si="0"/>
        <v>1.17</v>
      </c>
      <c r="D34" s="462">
        <f t="shared" si="1"/>
        <v>28</v>
      </c>
      <c r="E34" s="462">
        <f t="shared" si="3"/>
        <v>11.9574</v>
      </c>
      <c r="F34" s="446">
        <v>12</v>
      </c>
      <c r="G34" s="463" t="s">
        <v>1855</v>
      </c>
      <c r="H34" s="464" t="s">
        <v>1855</v>
      </c>
      <c r="I34" s="465">
        <v>0.82</v>
      </c>
      <c r="J34" s="465" t="s">
        <v>1855</v>
      </c>
      <c r="K34" s="465">
        <v>0.18</v>
      </c>
      <c r="L34" s="465" t="s">
        <v>1855</v>
      </c>
      <c r="M34" s="465" t="s">
        <v>1855</v>
      </c>
      <c r="N34" s="465" t="s">
        <v>1855</v>
      </c>
      <c r="O34" s="465" t="s">
        <v>1855</v>
      </c>
      <c r="P34" s="464" t="s">
        <v>1855</v>
      </c>
      <c r="Q34" s="446" t="s">
        <v>1855</v>
      </c>
      <c r="R34" s="437">
        <v>0</v>
      </c>
      <c r="S34" s="437">
        <v>5.0000000000000001E-3</v>
      </c>
      <c r="T34" s="437">
        <v>0</v>
      </c>
      <c r="U34" s="437">
        <v>5.0000000000000001E-3</v>
      </c>
      <c r="V34" s="437">
        <v>0.02</v>
      </c>
      <c r="W34" s="437">
        <v>0.02</v>
      </c>
      <c r="X34" s="437">
        <v>0</v>
      </c>
      <c r="Y34" s="437">
        <v>0</v>
      </c>
      <c r="Z34" s="437">
        <v>1E-3</v>
      </c>
      <c r="AA34" s="437">
        <v>1E-3</v>
      </c>
      <c r="AD34" s="466">
        <f t="shared" si="4"/>
        <v>1.5714285714285714</v>
      </c>
      <c r="AE34" s="467" t="str">
        <f t="shared" si="6"/>
        <v>n/a</v>
      </c>
      <c r="AF34" s="468" t="str">
        <f t="shared" si="5"/>
        <v>n/a</v>
      </c>
      <c r="AG34" s="468">
        <f t="shared" si="2"/>
        <v>0</v>
      </c>
      <c r="AH34" s="468" t="str">
        <f t="shared" si="2"/>
        <v>n/a</v>
      </c>
      <c r="AI34" s="468">
        <f t="shared" si="2"/>
        <v>6.7885714285714285E-2</v>
      </c>
      <c r="AJ34" s="468" t="str">
        <f t="shared" si="2"/>
        <v>n/a</v>
      </c>
      <c r="AK34" s="468" t="str">
        <f t="shared" si="2"/>
        <v>n/a</v>
      </c>
      <c r="AL34" s="468" t="str">
        <f t="shared" si="2"/>
        <v>n/a</v>
      </c>
      <c r="AM34" s="468" t="str">
        <f t="shared" si="2"/>
        <v>n/a</v>
      </c>
      <c r="AN34" s="468" t="str">
        <f t="shared" si="2"/>
        <v>n/a</v>
      </c>
      <c r="AO34" s="468" t="str">
        <f t="shared" si="2"/>
        <v>n/a</v>
      </c>
      <c r="AP34" s="469">
        <f t="shared" si="2"/>
        <v>0</v>
      </c>
      <c r="AQ34" s="460"/>
    </row>
    <row r="35" spans="1:43">
      <c r="A35" s="460" t="s">
        <v>1906</v>
      </c>
      <c r="B35" s="437" t="s">
        <v>1856</v>
      </c>
      <c r="C35" s="461">
        <f t="shared" si="0"/>
        <v>1.37</v>
      </c>
      <c r="D35" s="462">
        <f t="shared" si="1"/>
        <v>30</v>
      </c>
      <c r="E35" s="462">
        <f t="shared" si="3"/>
        <v>15.001500000000002</v>
      </c>
      <c r="F35" s="446">
        <v>40</v>
      </c>
      <c r="G35" s="463" t="s">
        <v>1855</v>
      </c>
      <c r="H35" s="464" t="s">
        <v>1855</v>
      </c>
      <c r="I35" s="465">
        <v>0.82</v>
      </c>
      <c r="J35" s="465" t="s">
        <v>1855</v>
      </c>
      <c r="K35" s="465">
        <v>0.18</v>
      </c>
      <c r="L35" s="465" t="s">
        <v>1855</v>
      </c>
      <c r="M35" s="465" t="s">
        <v>1855</v>
      </c>
      <c r="N35" s="465" t="s">
        <v>1855</v>
      </c>
      <c r="O35" s="465" t="s">
        <v>1855</v>
      </c>
      <c r="P35" s="464" t="s">
        <v>1855</v>
      </c>
      <c r="Q35" s="446" t="s">
        <v>1855</v>
      </c>
      <c r="R35" s="437">
        <v>0</v>
      </c>
      <c r="S35" s="437">
        <v>5.0000000000000001E-3</v>
      </c>
      <c r="T35" s="437">
        <v>0</v>
      </c>
      <c r="U35" s="437">
        <v>5.0000000000000001E-3</v>
      </c>
      <c r="V35" s="437">
        <v>0.02</v>
      </c>
      <c r="W35" s="437">
        <v>0.02</v>
      </c>
      <c r="X35" s="437">
        <v>0</v>
      </c>
      <c r="Y35" s="437">
        <v>0</v>
      </c>
      <c r="Z35" s="437">
        <v>1E-3</v>
      </c>
      <c r="AA35" s="437">
        <v>1E-3</v>
      </c>
      <c r="AD35" s="466">
        <f t="shared" si="4"/>
        <v>1.5714285714285714</v>
      </c>
      <c r="AE35" s="467" t="str">
        <f t="shared" si="6"/>
        <v>n/a</v>
      </c>
      <c r="AF35" s="468" t="str">
        <f t="shared" si="5"/>
        <v>n/a</v>
      </c>
      <c r="AG35" s="468">
        <f t="shared" si="2"/>
        <v>0</v>
      </c>
      <c r="AH35" s="468" t="str">
        <f t="shared" si="2"/>
        <v>n/a</v>
      </c>
      <c r="AI35" s="468">
        <f t="shared" si="2"/>
        <v>0.22628571428571426</v>
      </c>
      <c r="AJ35" s="468" t="str">
        <f t="shared" si="2"/>
        <v>n/a</v>
      </c>
      <c r="AK35" s="468" t="str">
        <f t="shared" si="2"/>
        <v>n/a</v>
      </c>
      <c r="AL35" s="468" t="str">
        <f t="shared" si="2"/>
        <v>n/a</v>
      </c>
      <c r="AM35" s="468" t="str">
        <f t="shared" si="2"/>
        <v>n/a</v>
      </c>
      <c r="AN35" s="468" t="str">
        <f t="shared" si="2"/>
        <v>n/a</v>
      </c>
      <c r="AO35" s="468" t="str">
        <f t="shared" si="2"/>
        <v>n/a</v>
      </c>
      <c r="AP35" s="469">
        <f t="shared" si="2"/>
        <v>0</v>
      </c>
      <c r="AQ35" s="460"/>
    </row>
    <row r="36" spans="1:43">
      <c r="A36" s="460" t="s">
        <v>1907</v>
      </c>
      <c r="B36" s="437" t="s">
        <v>1857</v>
      </c>
      <c r="C36" s="461">
        <f t="shared" si="0"/>
        <v>0.46</v>
      </c>
      <c r="D36" s="462">
        <f t="shared" si="1"/>
        <v>217</v>
      </c>
      <c r="E36" s="462">
        <f t="shared" si="3"/>
        <v>36.4343</v>
      </c>
      <c r="F36" s="447" t="s">
        <v>1855</v>
      </c>
      <c r="G36" s="463" t="s">
        <v>1855</v>
      </c>
      <c r="H36" s="464" t="s">
        <v>1855</v>
      </c>
      <c r="I36" s="465" t="s">
        <v>1855</v>
      </c>
      <c r="J36" s="465" t="s">
        <v>1855</v>
      </c>
      <c r="K36" s="465" t="s">
        <v>1855</v>
      </c>
      <c r="L36" s="465" t="s">
        <v>1855</v>
      </c>
      <c r="M36" s="465" t="s">
        <v>1855</v>
      </c>
      <c r="N36" s="465" t="s">
        <v>1855</v>
      </c>
      <c r="O36" s="465" t="s">
        <v>1855</v>
      </c>
      <c r="P36" s="464" t="s">
        <v>1855</v>
      </c>
      <c r="Q36" s="446" t="s">
        <v>1855</v>
      </c>
      <c r="R36" s="437">
        <v>0</v>
      </c>
      <c r="S36" s="437">
        <v>5.0000000000000001E-3</v>
      </c>
      <c r="T36" s="437">
        <v>0</v>
      </c>
      <c r="U36" s="437">
        <v>5.0000000000000001E-3</v>
      </c>
      <c r="V36" s="437">
        <v>0.02</v>
      </c>
      <c r="W36" s="437">
        <v>0.02</v>
      </c>
      <c r="X36" s="437">
        <v>0</v>
      </c>
      <c r="Y36" s="437">
        <v>0</v>
      </c>
      <c r="Z36" s="437">
        <v>1E-3</v>
      </c>
      <c r="AA36" s="437">
        <v>1E-3</v>
      </c>
      <c r="AD36" s="466">
        <f t="shared" si="4"/>
        <v>1.5714285714285714</v>
      </c>
      <c r="AE36" s="467" t="str">
        <f t="shared" si="6"/>
        <v>n/a</v>
      </c>
      <c r="AF36" s="468" t="str">
        <f t="shared" si="5"/>
        <v>n/a</v>
      </c>
      <c r="AG36" s="468" t="str">
        <f t="shared" si="2"/>
        <v>n/a</v>
      </c>
      <c r="AH36" s="468" t="str">
        <f t="shared" si="2"/>
        <v>n/a</v>
      </c>
      <c r="AI36" s="468" t="str">
        <f t="shared" si="2"/>
        <v>n/a</v>
      </c>
      <c r="AJ36" s="468" t="str">
        <f t="shared" si="2"/>
        <v>n/a</v>
      </c>
      <c r="AK36" s="468" t="str">
        <f t="shared" si="2"/>
        <v>n/a</v>
      </c>
      <c r="AL36" s="468" t="str">
        <f t="shared" si="2"/>
        <v>n/a</v>
      </c>
      <c r="AM36" s="468" t="str">
        <f t="shared" si="2"/>
        <v>n/a</v>
      </c>
      <c r="AN36" s="468" t="str">
        <f t="shared" si="2"/>
        <v>n/a</v>
      </c>
      <c r="AO36" s="468" t="str">
        <f t="shared" si="2"/>
        <v>n/a</v>
      </c>
      <c r="AP36" s="469" t="str">
        <f t="shared" si="2"/>
        <v>n/a</v>
      </c>
      <c r="AQ36" s="460"/>
    </row>
    <row r="37" spans="1:43">
      <c r="A37" s="460" t="s">
        <v>1908</v>
      </c>
      <c r="B37" s="437" t="s">
        <v>1858</v>
      </c>
      <c r="C37" s="461">
        <f t="shared" si="0"/>
        <v>0.46</v>
      </c>
      <c r="D37" s="462">
        <f t="shared" si="1"/>
        <v>238</v>
      </c>
      <c r="E37" s="462">
        <f t="shared" si="3"/>
        <v>39.9602</v>
      </c>
      <c r="F37" s="447" t="s">
        <v>1855</v>
      </c>
      <c r="G37" s="463" t="s">
        <v>1855</v>
      </c>
      <c r="H37" s="464" t="s">
        <v>1855</v>
      </c>
      <c r="I37" s="465" t="s">
        <v>1855</v>
      </c>
      <c r="J37" s="465" t="s">
        <v>1855</v>
      </c>
      <c r="K37" s="465" t="s">
        <v>1855</v>
      </c>
      <c r="L37" s="465" t="s">
        <v>1855</v>
      </c>
      <c r="M37" s="465" t="s">
        <v>1855</v>
      </c>
      <c r="N37" s="465" t="s">
        <v>1855</v>
      </c>
      <c r="O37" s="465" t="s">
        <v>1855</v>
      </c>
      <c r="P37" s="464" t="s">
        <v>1855</v>
      </c>
      <c r="Q37" s="446" t="s">
        <v>1855</v>
      </c>
      <c r="R37" s="437">
        <v>0</v>
      </c>
      <c r="S37" s="437">
        <v>5.0000000000000001E-3</v>
      </c>
      <c r="T37" s="437">
        <v>0</v>
      </c>
      <c r="U37" s="437">
        <v>5.0000000000000001E-3</v>
      </c>
      <c r="V37" s="437">
        <v>0.02</v>
      </c>
      <c r="W37" s="437">
        <v>0.02</v>
      </c>
      <c r="X37" s="437">
        <v>0</v>
      </c>
      <c r="Y37" s="437">
        <v>0</v>
      </c>
      <c r="Z37" s="437">
        <v>1E-3</v>
      </c>
      <c r="AA37" s="437">
        <v>1E-3</v>
      </c>
      <c r="AD37" s="466">
        <f t="shared" si="4"/>
        <v>1.5714285714285714</v>
      </c>
      <c r="AE37" s="467" t="str">
        <f t="shared" si="6"/>
        <v>n/a</v>
      </c>
      <c r="AF37" s="468" t="str">
        <f t="shared" si="5"/>
        <v>n/a</v>
      </c>
      <c r="AG37" s="468" t="str">
        <f t="shared" si="2"/>
        <v>n/a</v>
      </c>
      <c r="AH37" s="468" t="str">
        <f t="shared" si="2"/>
        <v>n/a</v>
      </c>
      <c r="AI37" s="468" t="str">
        <f t="shared" si="2"/>
        <v>n/a</v>
      </c>
      <c r="AJ37" s="468" t="str">
        <f t="shared" si="2"/>
        <v>n/a</v>
      </c>
      <c r="AK37" s="468" t="str">
        <f t="shared" si="2"/>
        <v>n/a</v>
      </c>
      <c r="AL37" s="468" t="str">
        <f t="shared" si="2"/>
        <v>n/a</v>
      </c>
      <c r="AM37" s="468" t="str">
        <f t="shared" si="2"/>
        <v>n/a</v>
      </c>
      <c r="AN37" s="468" t="str">
        <f t="shared" si="2"/>
        <v>n/a</v>
      </c>
      <c r="AO37" s="468" t="str">
        <f t="shared" si="2"/>
        <v>n/a</v>
      </c>
      <c r="AP37" s="469" t="str">
        <f t="shared" si="2"/>
        <v>n/a</v>
      </c>
      <c r="AQ37" s="460"/>
    </row>
    <row r="38" spans="1:43">
      <c r="A38" s="460"/>
      <c r="B38" s="437" t="s">
        <v>1859</v>
      </c>
      <c r="C38" s="461" t="str">
        <f t="shared" si="0"/>
        <v>n/a</v>
      </c>
      <c r="D38" s="462" t="str">
        <f t="shared" si="1"/>
        <v>n/a</v>
      </c>
      <c r="E38" s="462" t="str">
        <f>IFERROR(C38*D38*10^-3*365,"n/a")</f>
        <v>n/a</v>
      </c>
      <c r="F38" s="447" t="s">
        <v>1855</v>
      </c>
      <c r="G38" s="470"/>
      <c r="H38" s="471"/>
      <c r="I38" s="438"/>
      <c r="J38" s="438"/>
      <c r="K38" s="438"/>
      <c r="L38" s="438"/>
      <c r="M38" s="438"/>
      <c r="N38" s="438"/>
      <c r="O38" s="438"/>
      <c r="P38" s="471"/>
      <c r="Q38" s="448"/>
      <c r="R38" s="437">
        <v>0</v>
      </c>
      <c r="S38" s="437">
        <v>5.0000000000000001E-3</v>
      </c>
      <c r="T38" s="437">
        <v>0</v>
      </c>
      <c r="U38" s="437">
        <v>5.0000000000000001E-3</v>
      </c>
      <c r="V38" s="437">
        <v>0.02</v>
      </c>
      <c r="W38" s="437">
        <v>0.02</v>
      </c>
      <c r="X38" s="437">
        <v>0</v>
      </c>
      <c r="Y38" s="437">
        <v>0</v>
      </c>
      <c r="Z38" s="437">
        <v>1E-3</v>
      </c>
      <c r="AA38" s="437">
        <v>1E-3</v>
      </c>
      <c r="AD38" s="466">
        <f t="shared" si="4"/>
        <v>1.5714285714285714</v>
      </c>
      <c r="AE38" s="467" t="str">
        <f t="shared" si="6"/>
        <v>n/a</v>
      </c>
      <c r="AF38" s="468" t="str">
        <f t="shared" si="5"/>
        <v>n/a</v>
      </c>
      <c r="AG38" s="468" t="str">
        <f t="shared" si="2"/>
        <v>n/a</v>
      </c>
      <c r="AH38" s="468" t="str">
        <f t="shared" si="2"/>
        <v>n/a</v>
      </c>
      <c r="AI38" s="468" t="str">
        <f t="shared" si="2"/>
        <v>n/a</v>
      </c>
      <c r="AJ38" s="468" t="str">
        <f t="shared" si="2"/>
        <v>n/a</v>
      </c>
      <c r="AK38" s="468" t="str">
        <f t="shared" si="2"/>
        <v>n/a</v>
      </c>
      <c r="AL38" s="468" t="str">
        <f t="shared" si="2"/>
        <v>n/a</v>
      </c>
      <c r="AM38" s="468" t="str">
        <f t="shared" si="2"/>
        <v>n/a</v>
      </c>
      <c r="AN38" s="468" t="str">
        <f t="shared" si="2"/>
        <v>n/a</v>
      </c>
      <c r="AO38" s="468" t="str">
        <f t="shared" si="2"/>
        <v>n/a</v>
      </c>
      <c r="AP38" s="469" t="str">
        <f t="shared" si="2"/>
        <v>n/a</v>
      </c>
      <c r="AQ38" s="460"/>
    </row>
    <row r="39" spans="1:43">
      <c r="A39" s="460" t="s">
        <v>1909</v>
      </c>
      <c r="B39" s="437" t="s">
        <v>1860</v>
      </c>
      <c r="C39" s="461">
        <f t="shared" si="0"/>
        <v>0.5</v>
      </c>
      <c r="D39" s="462">
        <f t="shared" si="1"/>
        <v>28</v>
      </c>
      <c r="E39" s="462">
        <f>IFERROR(C39*D39*10^-3*365,"n/a")</f>
        <v>5.1100000000000003</v>
      </c>
      <c r="F39" s="446">
        <v>9.48</v>
      </c>
      <c r="G39" s="463">
        <v>7.0000000000000007E-2</v>
      </c>
      <c r="H39" s="464">
        <v>0</v>
      </c>
      <c r="I39" s="465">
        <v>0.15</v>
      </c>
      <c r="J39" s="465">
        <v>0</v>
      </c>
      <c r="K39" s="465">
        <v>0.01</v>
      </c>
      <c r="L39" s="465">
        <v>0.18</v>
      </c>
      <c r="M39" s="465">
        <v>0.59</v>
      </c>
      <c r="N39" s="465">
        <v>0</v>
      </c>
      <c r="O39" s="465">
        <v>0</v>
      </c>
      <c r="P39" s="464">
        <v>0</v>
      </c>
      <c r="Q39" s="446">
        <v>0</v>
      </c>
      <c r="R39" s="437">
        <v>0</v>
      </c>
      <c r="S39" s="437">
        <v>5.0000000000000001E-3</v>
      </c>
      <c r="T39" s="437">
        <v>0</v>
      </c>
      <c r="U39" s="437">
        <v>5.0000000000000001E-3</v>
      </c>
      <c r="V39" s="437">
        <v>0.02</v>
      </c>
      <c r="W39" s="437">
        <v>0.02</v>
      </c>
      <c r="X39" s="437">
        <v>0</v>
      </c>
      <c r="Y39" s="437">
        <v>0</v>
      </c>
      <c r="Z39" s="437">
        <v>1E-3</v>
      </c>
      <c r="AA39" s="437">
        <v>1E-3</v>
      </c>
      <c r="AD39" s="466">
        <f t="shared" si="4"/>
        <v>1.5714285714285714</v>
      </c>
      <c r="AE39" s="467">
        <f t="shared" si="6"/>
        <v>0</v>
      </c>
      <c r="AF39" s="468">
        <f t="shared" si="5"/>
        <v>0</v>
      </c>
      <c r="AG39" s="468">
        <f t="shared" si="2"/>
        <v>0</v>
      </c>
      <c r="AH39" s="468">
        <f t="shared" si="2"/>
        <v>0</v>
      </c>
      <c r="AI39" s="468">
        <f t="shared" si="2"/>
        <v>2.9794285714285721E-3</v>
      </c>
      <c r="AJ39" s="468">
        <f t="shared" si="2"/>
        <v>5.3629714285714281E-2</v>
      </c>
      <c r="AK39" s="468">
        <f t="shared" si="2"/>
        <v>0</v>
      </c>
      <c r="AL39" s="468">
        <f t="shared" si="2"/>
        <v>0</v>
      </c>
      <c r="AM39" s="468">
        <f t="shared" si="2"/>
        <v>0</v>
      </c>
      <c r="AN39" s="468">
        <f t="shared" si="2"/>
        <v>0</v>
      </c>
      <c r="AO39" s="468">
        <f t="shared" si="2"/>
        <v>0</v>
      </c>
      <c r="AP39" s="469">
        <f t="shared" si="2"/>
        <v>0</v>
      </c>
      <c r="AQ39" s="460"/>
    </row>
    <row r="40" spans="1:43">
      <c r="A40" s="460" t="s">
        <v>1910</v>
      </c>
      <c r="B40" s="437" t="s">
        <v>1861</v>
      </c>
      <c r="C40" s="461">
        <v>0.46</v>
      </c>
      <c r="D40" s="462" t="str">
        <f t="shared" si="1"/>
        <v>n/a</v>
      </c>
      <c r="E40" s="462" t="str">
        <f>IFERROR(C40*D40*10^-3*365,"n/a")</f>
        <v>n/a</v>
      </c>
      <c r="F40" s="447" t="s">
        <v>1855</v>
      </c>
      <c r="G40" s="463" t="s">
        <v>1855</v>
      </c>
      <c r="H40" s="464" t="s">
        <v>1855</v>
      </c>
      <c r="I40" s="465" t="s">
        <v>1855</v>
      </c>
      <c r="J40" s="465" t="s">
        <v>1855</v>
      </c>
      <c r="K40" s="465" t="s">
        <v>1855</v>
      </c>
      <c r="L40" s="465" t="s">
        <v>1855</v>
      </c>
      <c r="M40" s="465" t="s">
        <v>1855</v>
      </c>
      <c r="N40" s="465" t="s">
        <v>1855</v>
      </c>
      <c r="O40" s="465" t="s">
        <v>1855</v>
      </c>
      <c r="P40" s="464" t="s">
        <v>1855</v>
      </c>
      <c r="Q40" s="446" t="s">
        <v>1855</v>
      </c>
      <c r="R40" s="437">
        <v>0</v>
      </c>
      <c r="S40" s="437">
        <v>5.0000000000000001E-3</v>
      </c>
      <c r="T40" s="437">
        <v>0</v>
      </c>
      <c r="U40" s="437">
        <v>5.0000000000000001E-3</v>
      </c>
      <c r="V40" s="437">
        <v>0.02</v>
      </c>
      <c r="W40" s="437">
        <v>0.02</v>
      </c>
      <c r="X40" s="437">
        <v>0</v>
      </c>
      <c r="Y40" s="437">
        <v>0</v>
      </c>
      <c r="Z40" s="437">
        <v>1E-3</v>
      </c>
      <c r="AA40" s="437">
        <v>1E-3</v>
      </c>
      <c r="AD40" s="466">
        <f t="shared" si="4"/>
        <v>1.5714285714285714</v>
      </c>
      <c r="AE40" s="467" t="str">
        <f t="shared" si="6"/>
        <v>n/a</v>
      </c>
      <c r="AF40" s="468" t="str">
        <f t="shared" si="5"/>
        <v>n/a</v>
      </c>
      <c r="AG40" s="468" t="str">
        <f t="shared" si="2"/>
        <v>n/a</v>
      </c>
      <c r="AH40" s="468" t="str">
        <f t="shared" si="2"/>
        <v>n/a</v>
      </c>
      <c r="AI40" s="468" t="str">
        <f t="shared" si="2"/>
        <v>n/a</v>
      </c>
      <c r="AJ40" s="468" t="str">
        <f t="shared" si="2"/>
        <v>n/a</v>
      </c>
      <c r="AK40" s="468" t="str">
        <f t="shared" si="2"/>
        <v>n/a</v>
      </c>
      <c r="AL40" s="468" t="str">
        <f t="shared" si="2"/>
        <v>n/a</v>
      </c>
      <c r="AM40" s="468" t="str">
        <f t="shared" si="2"/>
        <v>n/a</v>
      </c>
      <c r="AN40" s="468" t="str">
        <f t="shared" si="2"/>
        <v>n/a</v>
      </c>
      <c r="AO40" s="468" t="str">
        <f t="shared" si="2"/>
        <v>n/a</v>
      </c>
      <c r="AP40" s="469" t="str">
        <f t="shared" si="2"/>
        <v>n/a</v>
      </c>
      <c r="AQ40" s="460"/>
    </row>
    <row r="41" spans="1:43">
      <c r="A41" s="460" t="s">
        <v>1911</v>
      </c>
      <c r="B41" s="437" t="s">
        <v>1862</v>
      </c>
      <c r="C41" s="461" t="str">
        <f>IFERROR(VLOOKUP($A41,MMS_Lagoon,3,FALSE),"n/a")</f>
        <v>n/a</v>
      </c>
      <c r="D41" s="462" t="str">
        <f t="shared" si="1"/>
        <v>n/a</v>
      </c>
      <c r="E41" s="462" t="str">
        <f>IFERROR(C41*D41*10^-3*365,"n/a")</f>
        <v>n/a</v>
      </c>
      <c r="F41" s="447" t="s">
        <v>1855</v>
      </c>
      <c r="G41" s="463" t="s">
        <v>1855</v>
      </c>
      <c r="H41" s="464" t="s">
        <v>1855</v>
      </c>
      <c r="I41" s="465" t="s">
        <v>1855</v>
      </c>
      <c r="J41" s="465" t="s">
        <v>1855</v>
      </c>
      <c r="K41" s="465" t="s">
        <v>1855</v>
      </c>
      <c r="L41" s="465" t="s">
        <v>1855</v>
      </c>
      <c r="M41" s="465" t="s">
        <v>1855</v>
      </c>
      <c r="N41" s="465" t="s">
        <v>1855</v>
      </c>
      <c r="O41" s="465" t="s">
        <v>1855</v>
      </c>
      <c r="P41" s="464" t="s">
        <v>1855</v>
      </c>
      <c r="Q41" s="446" t="s">
        <v>1855</v>
      </c>
      <c r="R41" s="437">
        <v>0</v>
      </c>
      <c r="S41" s="437">
        <v>5.0000000000000001E-3</v>
      </c>
      <c r="T41" s="437">
        <v>0</v>
      </c>
      <c r="U41" s="437">
        <v>5.0000000000000001E-3</v>
      </c>
      <c r="V41" s="437">
        <v>0.02</v>
      </c>
      <c r="W41" s="437">
        <v>0.02</v>
      </c>
      <c r="X41" s="437">
        <v>0</v>
      </c>
      <c r="Y41" s="437">
        <v>0</v>
      </c>
      <c r="Z41" s="437">
        <v>1E-3</v>
      </c>
      <c r="AA41" s="437">
        <v>1E-3</v>
      </c>
      <c r="AD41" s="466">
        <f t="shared" si="4"/>
        <v>1.5714285714285714</v>
      </c>
      <c r="AE41" s="467" t="str">
        <f t="shared" si="6"/>
        <v>n/a</v>
      </c>
      <c r="AF41" s="468" t="str">
        <f t="shared" si="5"/>
        <v>n/a</v>
      </c>
      <c r="AG41" s="468" t="str">
        <f t="shared" si="2"/>
        <v>n/a</v>
      </c>
      <c r="AH41" s="468" t="str">
        <f t="shared" si="2"/>
        <v>n/a</v>
      </c>
      <c r="AI41" s="468" t="str">
        <f t="shared" si="2"/>
        <v>n/a</v>
      </c>
      <c r="AJ41" s="468" t="str">
        <f t="shared" si="2"/>
        <v>n/a</v>
      </c>
      <c r="AK41" s="468" t="str">
        <f t="shared" si="2"/>
        <v>n/a</v>
      </c>
      <c r="AL41" s="468" t="str">
        <f t="shared" si="2"/>
        <v>n/a</v>
      </c>
      <c r="AM41" s="468" t="str">
        <f t="shared" si="2"/>
        <v>n/a</v>
      </c>
      <c r="AN41" s="468" t="str">
        <f t="shared" si="2"/>
        <v>n/a</v>
      </c>
      <c r="AO41" s="468" t="str">
        <f t="shared" si="2"/>
        <v>n/a</v>
      </c>
      <c r="AP41" s="469" t="str">
        <f t="shared" si="2"/>
        <v>n/a</v>
      </c>
      <c r="AQ41" s="460"/>
    </row>
    <row r="42" spans="1:43">
      <c r="A42" s="460" t="s">
        <v>1912</v>
      </c>
      <c r="B42" s="437"/>
      <c r="C42" s="461"/>
      <c r="D42" s="462"/>
      <c r="E42" s="462"/>
      <c r="F42" s="447"/>
      <c r="G42" s="463">
        <v>0</v>
      </c>
      <c r="H42" s="464">
        <v>0</v>
      </c>
      <c r="I42" s="465">
        <v>0.04</v>
      </c>
      <c r="J42" s="465">
        <v>0</v>
      </c>
      <c r="K42" s="465">
        <v>0.2</v>
      </c>
      <c r="L42" s="465">
        <v>0</v>
      </c>
      <c r="M42" s="465">
        <v>0.02</v>
      </c>
      <c r="N42" s="465">
        <v>0.64</v>
      </c>
      <c r="O42" s="465">
        <v>0.09</v>
      </c>
      <c r="P42" s="464">
        <v>0.01</v>
      </c>
      <c r="Q42" s="446">
        <v>0</v>
      </c>
      <c r="R42" s="437">
        <v>0</v>
      </c>
      <c r="S42" s="437">
        <v>5.0000000000000001E-3</v>
      </c>
      <c r="T42" s="437">
        <v>0</v>
      </c>
      <c r="U42" s="437">
        <v>5.0000000000000001E-3</v>
      </c>
      <c r="V42" s="437">
        <v>0.02</v>
      </c>
      <c r="W42" s="437">
        <v>0.02</v>
      </c>
      <c r="X42" s="437">
        <v>0</v>
      </c>
      <c r="Y42" s="437">
        <v>0</v>
      </c>
      <c r="Z42" s="437">
        <v>1E-3</v>
      </c>
      <c r="AA42" s="437">
        <v>1E-3</v>
      </c>
      <c r="AD42" s="466">
        <f t="shared" si="4"/>
        <v>1.5714285714285714</v>
      </c>
      <c r="AE42" s="467">
        <f t="shared" si="6"/>
        <v>0</v>
      </c>
      <c r="AF42" s="468">
        <f t="shared" si="5"/>
        <v>0</v>
      </c>
      <c r="AG42" s="468">
        <f t="shared" si="2"/>
        <v>0</v>
      </c>
      <c r="AH42" s="468">
        <f t="shared" si="2"/>
        <v>0</v>
      </c>
      <c r="AI42" s="468">
        <f t="shared" si="2"/>
        <v>0</v>
      </c>
      <c r="AJ42" s="468">
        <f t="shared" si="2"/>
        <v>0</v>
      </c>
      <c r="AK42" s="468">
        <f t="shared" si="2"/>
        <v>0</v>
      </c>
      <c r="AL42" s="468">
        <f t="shared" si="2"/>
        <v>0</v>
      </c>
      <c r="AM42" s="468">
        <f t="shared" si="2"/>
        <v>0</v>
      </c>
      <c r="AN42" s="468">
        <f t="shared" si="2"/>
        <v>0</v>
      </c>
      <c r="AO42" s="468">
        <f t="shared" si="2"/>
        <v>0</v>
      </c>
      <c r="AP42" s="469">
        <f t="shared" si="2"/>
        <v>0</v>
      </c>
      <c r="AQ42" s="460"/>
    </row>
    <row r="43" spans="1:43">
      <c r="A43" s="472" t="s">
        <v>1913</v>
      </c>
      <c r="B43" s="437" t="s">
        <v>1863</v>
      </c>
      <c r="C43" s="461">
        <f t="shared" ref="C43:C48" si="7">IFERROR(VLOOKUP($A43,MMS_Lagoon,3,FALSE),"n/a")</f>
        <v>0.82</v>
      </c>
      <c r="D43" s="462">
        <f t="shared" ref="D43:D48" si="8">IFERROR(VLOOKUP($A43,MMS_Liquid,4,FALSE),"n/a")</f>
        <v>1.8</v>
      </c>
      <c r="E43" s="462">
        <f t="shared" ref="E43:E48" si="9">IFERROR(C43*D43*10^-3*365,"n/a")</f>
        <v>0.53874</v>
      </c>
      <c r="F43" s="446">
        <v>0.441</v>
      </c>
      <c r="G43" s="463">
        <v>0</v>
      </c>
      <c r="H43" s="464">
        <v>0</v>
      </c>
      <c r="I43" s="465">
        <v>0.04</v>
      </c>
      <c r="J43" s="465">
        <v>0</v>
      </c>
      <c r="K43" s="465">
        <v>0.2</v>
      </c>
      <c r="L43" s="465">
        <v>0</v>
      </c>
      <c r="M43" s="465">
        <v>0.02</v>
      </c>
      <c r="N43" s="465">
        <v>0.64</v>
      </c>
      <c r="O43" s="465">
        <v>0.09</v>
      </c>
      <c r="P43" s="464">
        <v>0.01</v>
      </c>
      <c r="Q43" s="446">
        <v>0</v>
      </c>
      <c r="R43" s="437">
        <v>0</v>
      </c>
      <c r="S43" s="437">
        <v>5.0000000000000001E-3</v>
      </c>
      <c r="T43" s="437">
        <v>0</v>
      </c>
      <c r="U43" s="437">
        <v>5.0000000000000001E-3</v>
      </c>
      <c r="V43" s="437">
        <v>0.02</v>
      </c>
      <c r="W43" s="437">
        <v>0.02</v>
      </c>
      <c r="X43" s="437">
        <v>0</v>
      </c>
      <c r="Y43" s="437">
        <v>0</v>
      </c>
      <c r="Z43" s="437">
        <v>1E-3</v>
      </c>
      <c r="AA43" s="437">
        <v>1E-3</v>
      </c>
      <c r="AD43" s="466">
        <f t="shared" si="4"/>
        <v>1.5714285714285714</v>
      </c>
      <c r="AE43" s="467">
        <f t="shared" si="6"/>
        <v>0</v>
      </c>
      <c r="AF43" s="468">
        <f t="shared" si="5"/>
        <v>0</v>
      </c>
      <c r="AG43" s="468">
        <f t="shared" si="2"/>
        <v>0</v>
      </c>
      <c r="AH43" s="468">
        <f t="shared" si="2"/>
        <v>0</v>
      </c>
      <c r="AI43" s="468">
        <f t="shared" si="2"/>
        <v>2.7719999999999997E-3</v>
      </c>
      <c r="AJ43" s="468">
        <f t="shared" si="2"/>
        <v>0</v>
      </c>
      <c r="AK43" s="468">
        <f t="shared" si="2"/>
        <v>0</v>
      </c>
      <c r="AL43" s="468">
        <f t="shared" si="2"/>
        <v>0</v>
      </c>
      <c r="AM43" s="468">
        <f t="shared" si="2"/>
        <v>6.2369999999999987E-5</v>
      </c>
      <c r="AN43" s="468">
        <f t="shared" si="2"/>
        <v>6.9299999999999997E-6</v>
      </c>
      <c r="AO43" s="468">
        <f t="shared" si="2"/>
        <v>0</v>
      </c>
      <c r="AP43" s="469">
        <f t="shared" si="2"/>
        <v>0</v>
      </c>
      <c r="AQ43" s="460"/>
    </row>
    <row r="44" spans="1:43">
      <c r="A44" s="472" t="s">
        <v>1914</v>
      </c>
      <c r="B44" s="437" t="s">
        <v>1864</v>
      </c>
      <c r="C44" s="461">
        <f t="shared" si="7"/>
        <v>0.83</v>
      </c>
      <c r="D44" s="462">
        <f t="shared" si="8"/>
        <v>1.8</v>
      </c>
      <c r="E44" s="462">
        <f t="shared" si="9"/>
        <v>0.54531000000000007</v>
      </c>
      <c r="F44" s="446">
        <v>0.441</v>
      </c>
      <c r="G44" s="463">
        <v>0</v>
      </c>
      <c r="H44" s="464">
        <v>0</v>
      </c>
      <c r="I44" s="465">
        <v>0.04</v>
      </c>
      <c r="J44" s="465">
        <v>0</v>
      </c>
      <c r="K44" s="465">
        <v>0.2</v>
      </c>
      <c r="L44" s="465">
        <v>0</v>
      </c>
      <c r="M44" s="465">
        <v>0.02</v>
      </c>
      <c r="N44" s="465">
        <v>0.64</v>
      </c>
      <c r="O44" s="465">
        <v>0.09</v>
      </c>
      <c r="P44" s="464">
        <v>0.01</v>
      </c>
      <c r="Q44" s="446">
        <v>0</v>
      </c>
      <c r="R44" s="437">
        <v>0</v>
      </c>
      <c r="S44" s="437">
        <v>5.0000000000000001E-3</v>
      </c>
      <c r="T44" s="437">
        <v>0</v>
      </c>
      <c r="U44" s="437">
        <v>5.0000000000000001E-3</v>
      </c>
      <c r="V44" s="437">
        <v>0.02</v>
      </c>
      <c r="W44" s="437">
        <v>0.02</v>
      </c>
      <c r="X44" s="437">
        <v>0</v>
      </c>
      <c r="Y44" s="437">
        <v>0</v>
      </c>
      <c r="Z44" s="437">
        <v>1E-3</v>
      </c>
      <c r="AA44" s="437">
        <v>1E-3</v>
      </c>
      <c r="AD44" s="466">
        <f t="shared" si="4"/>
        <v>1.5714285714285714</v>
      </c>
      <c r="AE44" s="467">
        <f t="shared" si="6"/>
        <v>0</v>
      </c>
      <c r="AF44" s="468">
        <f t="shared" si="5"/>
        <v>0</v>
      </c>
      <c r="AG44" s="468">
        <f t="shared" si="2"/>
        <v>0</v>
      </c>
      <c r="AH44" s="468">
        <f t="shared" si="2"/>
        <v>0</v>
      </c>
      <c r="AI44" s="468">
        <f t="shared" si="2"/>
        <v>2.7719999999999997E-3</v>
      </c>
      <c r="AJ44" s="468">
        <f t="shared" si="2"/>
        <v>0</v>
      </c>
      <c r="AK44" s="468">
        <f t="shared" si="2"/>
        <v>0</v>
      </c>
      <c r="AL44" s="468">
        <f t="shared" si="2"/>
        <v>0</v>
      </c>
      <c r="AM44" s="468">
        <f t="shared" si="2"/>
        <v>6.2369999999999987E-5</v>
      </c>
      <c r="AN44" s="468">
        <f t="shared" si="2"/>
        <v>6.9299999999999997E-6</v>
      </c>
      <c r="AO44" s="468">
        <f t="shared" si="2"/>
        <v>0</v>
      </c>
      <c r="AP44" s="469">
        <f t="shared" si="2"/>
        <v>0</v>
      </c>
      <c r="AQ44" s="460"/>
    </row>
    <row r="45" spans="1:43">
      <c r="A45" s="472" t="s">
        <v>1915</v>
      </c>
      <c r="B45" s="437" t="s">
        <v>1865</v>
      </c>
      <c r="C45" s="461">
        <f t="shared" si="7"/>
        <v>0.82</v>
      </c>
      <c r="D45" s="462">
        <f t="shared" si="8"/>
        <v>1.8</v>
      </c>
      <c r="E45" s="462">
        <f t="shared" si="9"/>
        <v>0.53874</v>
      </c>
      <c r="F45" s="446">
        <v>0.441</v>
      </c>
      <c r="G45" s="463">
        <v>0</v>
      </c>
      <c r="H45" s="464">
        <v>0</v>
      </c>
      <c r="I45" s="465">
        <v>0.04</v>
      </c>
      <c r="J45" s="465">
        <v>0</v>
      </c>
      <c r="K45" s="465">
        <v>0.2</v>
      </c>
      <c r="L45" s="465">
        <v>0</v>
      </c>
      <c r="M45" s="465">
        <v>0.02</v>
      </c>
      <c r="N45" s="465">
        <v>0.64</v>
      </c>
      <c r="O45" s="465">
        <v>0.09</v>
      </c>
      <c r="P45" s="464">
        <v>0.01</v>
      </c>
      <c r="Q45" s="446">
        <v>0</v>
      </c>
      <c r="R45" s="437">
        <v>0</v>
      </c>
      <c r="S45" s="437">
        <v>5.0000000000000001E-3</v>
      </c>
      <c r="T45" s="437">
        <v>0</v>
      </c>
      <c r="U45" s="437">
        <v>5.0000000000000001E-3</v>
      </c>
      <c r="V45" s="437">
        <v>0.02</v>
      </c>
      <c r="W45" s="437">
        <v>0.02</v>
      </c>
      <c r="X45" s="437">
        <v>0</v>
      </c>
      <c r="Y45" s="437">
        <v>0</v>
      </c>
      <c r="Z45" s="437">
        <v>1E-3</v>
      </c>
      <c r="AA45" s="437">
        <v>1E-3</v>
      </c>
      <c r="AD45" s="466">
        <f t="shared" si="4"/>
        <v>1.5714285714285714</v>
      </c>
      <c r="AE45" s="467">
        <f t="shared" si="6"/>
        <v>0</v>
      </c>
      <c r="AF45" s="468">
        <f t="shared" si="5"/>
        <v>0</v>
      </c>
      <c r="AG45" s="468">
        <f t="shared" si="2"/>
        <v>0</v>
      </c>
      <c r="AH45" s="468">
        <f t="shared" si="2"/>
        <v>0</v>
      </c>
      <c r="AI45" s="468">
        <f t="shared" si="2"/>
        <v>2.7719999999999997E-3</v>
      </c>
      <c r="AJ45" s="468">
        <f t="shared" si="2"/>
        <v>0</v>
      </c>
      <c r="AK45" s="468">
        <f t="shared" si="2"/>
        <v>0</v>
      </c>
      <c r="AL45" s="468">
        <f t="shared" si="2"/>
        <v>0</v>
      </c>
      <c r="AM45" s="468">
        <f t="shared" si="2"/>
        <v>6.2369999999999987E-5</v>
      </c>
      <c r="AN45" s="468">
        <f t="shared" si="2"/>
        <v>6.9299999999999997E-6</v>
      </c>
      <c r="AO45" s="468">
        <f t="shared" si="2"/>
        <v>0</v>
      </c>
      <c r="AP45" s="469">
        <f t="shared" si="2"/>
        <v>0</v>
      </c>
      <c r="AQ45" s="460"/>
    </row>
    <row r="46" spans="1:43">
      <c r="A46" s="472" t="s">
        <v>1916</v>
      </c>
      <c r="B46" s="437" t="s">
        <v>1866</v>
      </c>
      <c r="C46" s="461">
        <f t="shared" si="7"/>
        <v>0.82</v>
      </c>
      <c r="D46" s="462">
        <f t="shared" si="8"/>
        <v>1.8</v>
      </c>
      <c r="E46" s="462">
        <f t="shared" si="9"/>
        <v>0.53874</v>
      </c>
      <c r="F46" s="446">
        <v>0.441</v>
      </c>
      <c r="G46" s="463">
        <v>0</v>
      </c>
      <c r="H46" s="464">
        <v>0</v>
      </c>
      <c r="I46" s="465">
        <v>0.04</v>
      </c>
      <c r="J46" s="465">
        <v>0</v>
      </c>
      <c r="K46" s="465">
        <v>0.2</v>
      </c>
      <c r="L46" s="465">
        <v>0</v>
      </c>
      <c r="M46" s="465">
        <v>0.02</v>
      </c>
      <c r="N46" s="465">
        <v>0.64</v>
      </c>
      <c r="O46" s="465">
        <v>0.09</v>
      </c>
      <c r="P46" s="464">
        <v>0.01</v>
      </c>
      <c r="Q46" s="446">
        <v>0</v>
      </c>
      <c r="R46" s="437">
        <v>0</v>
      </c>
      <c r="S46" s="437">
        <v>5.0000000000000001E-3</v>
      </c>
      <c r="T46" s="437">
        <v>0</v>
      </c>
      <c r="U46" s="437">
        <v>5.0000000000000001E-3</v>
      </c>
      <c r="V46" s="437">
        <v>0.02</v>
      </c>
      <c r="W46" s="437">
        <v>0.02</v>
      </c>
      <c r="X46" s="437">
        <v>0</v>
      </c>
      <c r="Y46" s="437">
        <v>0</v>
      </c>
      <c r="Z46" s="437">
        <v>1E-3</v>
      </c>
      <c r="AA46" s="437">
        <v>1E-3</v>
      </c>
      <c r="AD46" s="466">
        <f t="shared" si="4"/>
        <v>1.5714285714285714</v>
      </c>
      <c r="AE46" s="467">
        <f t="shared" si="6"/>
        <v>0</v>
      </c>
      <c r="AF46" s="468">
        <f t="shared" si="5"/>
        <v>0</v>
      </c>
      <c r="AG46" s="468">
        <f t="shared" si="2"/>
        <v>0</v>
      </c>
      <c r="AH46" s="468">
        <f t="shared" si="2"/>
        <v>0</v>
      </c>
      <c r="AI46" s="468">
        <f t="shared" si="2"/>
        <v>2.7719999999999997E-3</v>
      </c>
      <c r="AJ46" s="468">
        <f t="shared" si="2"/>
        <v>0</v>
      </c>
      <c r="AK46" s="468">
        <f t="shared" si="2"/>
        <v>0</v>
      </c>
      <c r="AL46" s="468">
        <f t="shared" si="2"/>
        <v>0</v>
      </c>
      <c r="AM46" s="468">
        <f t="shared" si="2"/>
        <v>6.2369999999999987E-5</v>
      </c>
      <c r="AN46" s="468">
        <f t="shared" si="2"/>
        <v>6.9299999999999997E-6</v>
      </c>
      <c r="AO46" s="468">
        <f t="shared" si="2"/>
        <v>0</v>
      </c>
      <c r="AP46" s="469">
        <f t="shared" si="2"/>
        <v>0</v>
      </c>
      <c r="AQ46" s="460"/>
    </row>
    <row r="47" spans="1:43">
      <c r="A47" s="472" t="s">
        <v>1917</v>
      </c>
      <c r="B47" s="437" t="s">
        <v>1867</v>
      </c>
      <c r="C47" s="461" t="str">
        <f t="shared" si="7"/>
        <v>n/a</v>
      </c>
      <c r="D47" s="462" t="str">
        <f t="shared" si="8"/>
        <v>n/a</v>
      </c>
      <c r="E47" s="462" t="str">
        <f t="shared" si="9"/>
        <v>n/a</v>
      </c>
      <c r="F47" s="447" t="s">
        <v>1855</v>
      </c>
      <c r="G47" s="463">
        <v>0</v>
      </c>
      <c r="H47" s="464">
        <v>0</v>
      </c>
      <c r="I47" s="465">
        <v>0.04</v>
      </c>
      <c r="J47" s="465">
        <v>0</v>
      </c>
      <c r="K47" s="465">
        <v>0.2</v>
      </c>
      <c r="L47" s="465">
        <v>0</v>
      </c>
      <c r="M47" s="465">
        <v>0.02</v>
      </c>
      <c r="N47" s="465">
        <v>0.64</v>
      </c>
      <c r="O47" s="465">
        <v>0.09</v>
      </c>
      <c r="P47" s="464">
        <v>0.01</v>
      </c>
      <c r="Q47" s="446">
        <v>0</v>
      </c>
      <c r="R47" s="437">
        <v>0</v>
      </c>
      <c r="S47" s="437">
        <v>5.0000000000000001E-3</v>
      </c>
      <c r="T47" s="437">
        <v>0</v>
      </c>
      <c r="U47" s="437">
        <v>5.0000000000000001E-3</v>
      </c>
      <c r="V47" s="437">
        <v>0.02</v>
      </c>
      <c r="W47" s="437">
        <v>0.02</v>
      </c>
      <c r="X47" s="437">
        <v>0</v>
      </c>
      <c r="Y47" s="437">
        <v>0</v>
      </c>
      <c r="Z47" s="437">
        <v>1E-3</v>
      </c>
      <c r="AA47" s="437">
        <v>1E-3</v>
      </c>
      <c r="AD47" s="466">
        <f t="shared" si="4"/>
        <v>1.5714285714285714</v>
      </c>
      <c r="AE47" s="467" t="str">
        <f t="shared" si="6"/>
        <v>n/a</v>
      </c>
      <c r="AF47" s="468" t="str">
        <f t="shared" si="5"/>
        <v>n/a</v>
      </c>
      <c r="AG47" s="468" t="str">
        <f t="shared" ref="AG47:AP48" si="10">IFERROR($F47*I47*T47*$AD47,"n/a")</f>
        <v>n/a</v>
      </c>
      <c r="AH47" s="468" t="str">
        <f t="shared" si="10"/>
        <v>n/a</v>
      </c>
      <c r="AI47" s="468" t="str">
        <f t="shared" si="10"/>
        <v>n/a</v>
      </c>
      <c r="AJ47" s="468" t="str">
        <f t="shared" si="10"/>
        <v>n/a</v>
      </c>
      <c r="AK47" s="468" t="str">
        <f t="shared" si="10"/>
        <v>n/a</v>
      </c>
      <c r="AL47" s="468" t="str">
        <f t="shared" si="10"/>
        <v>n/a</v>
      </c>
      <c r="AM47" s="468" t="str">
        <f t="shared" si="10"/>
        <v>n/a</v>
      </c>
      <c r="AN47" s="468" t="str">
        <f t="shared" si="10"/>
        <v>n/a</v>
      </c>
      <c r="AO47" s="468" t="str">
        <f t="shared" si="10"/>
        <v>n/a</v>
      </c>
      <c r="AP47" s="469" t="str">
        <f t="shared" si="10"/>
        <v>n/a</v>
      </c>
      <c r="AQ47" s="460"/>
    </row>
    <row r="48" spans="1:43">
      <c r="A48" s="473" t="s">
        <v>1918</v>
      </c>
      <c r="B48" s="474" t="s">
        <v>1868</v>
      </c>
      <c r="C48" s="475" t="str">
        <f t="shared" si="7"/>
        <v>n/a</v>
      </c>
      <c r="D48" s="476" t="str">
        <f t="shared" si="8"/>
        <v>n/a</v>
      </c>
      <c r="E48" s="476" t="str">
        <f t="shared" si="9"/>
        <v>n/a</v>
      </c>
      <c r="F48" s="477" t="s">
        <v>1855</v>
      </c>
      <c r="G48" s="478" t="s">
        <v>1855</v>
      </c>
      <c r="H48" s="479" t="s">
        <v>1855</v>
      </c>
      <c r="I48" s="479" t="s">
        <v>1855</v>
      </c>
      <c r="J48" s="479" t="s">
        <v>1855</v>
      </c>
      <c r="K48" s="479" t="s">
        <v>1855</v>
      </c>
      <c r="L48" s="479" t="s">
        <v>1855</v>
      </c>
      <c r="M48" s="479" t="s">
        <v>1855</v>
      </c>
      <c r="N48" s="479" t="s">
        <v>1855</v>
      </c>
      <c r="O48" s="479" t="s">
        <v>1855</v>
      </c>
      <c r="P48" s="479" t="s">
        <v>1855</v>
      </c>
      <c r="Q48" s="480" t="s">
        <v>1855</v>
      </c>
      <c r="R48" s="474">
        <v>0</v>
      </c>
      <c r="S48" s="474">
        <v>5.0000000000000001E-3</v>
      </c>
      <c r="T48" s="474">
        <v>0</v>
      </c>
      <c r="U48" s="474">
        <v>5.0000000000000001E-3</v>
      </c>
      <c r="V48" s="474">
        <v>0.02</v>
      </c>
      <c r="W48" s="474">
        <v>0.02</v>
      </c>
      <c r="X48" s="474">
        <v>0</v>
      </c>
      <c r="Y48" s="474">
        <v>0</v>
      </c>
      <c r="Z48" s="474">
        <v>1E-3</v>
      </c>
      <c r="AA48" s="474">
        <v>1E-3</v>
      </c>
      <c r="AB48" s="474"/>
      <c r="AC48" s="474"/>
      <c r="AD48" s="481">
        <f t="shared" si="4"/>
        <v>1.5714285714285714</v>
      </c>
      <c r="AE48" s="482" t="str">
        <f t="shared" si="6"/>
        <v>n/a</v>
      </c>
      <c r="AF48" s="483" t="str">
        <f t="shared" si="5"/>
        <v>n/a</v>
      </c>
      <c r="AG48" s="483" t="str">
        <f t="shared" si="10"/>
        <v>n/a</v>
      </c>
      <c r="AH48" s="483" t="str">
        <f t="shared" si="10"/>
        <v>n/a</v>
      </c>
      <c r="AI48" s="483" t="str">
        <f t="shared" si="10"/>
        <v>n/a</v>
      </c>
      <c r="AJ48" s="483" t="str">
        <f t="shared" si="10"/>
        <v>n/a</v>
      </c>
      <c r="AK48" s="483" t="str">
        <f t="shared" si="10"/>
        <v>n/a</v>
      </c>
      <c r="AL48" s="483" t="str">
        <f t="shared" si="10"/>
        <v>n/a</v>
      </c>
      <c r="AM48" s="483" t="str">
        <f t="shared" si="10"/>
        <v>n/a</v>
      </c>
      <c r="AN48" s="483" t="str">
        <f t="shared" si="10"/>
        <v>n/a</v>
      </c>
      <c r="AO48" s="483" t="str">
        <f t="shared" si="10"/>
        <v>n/a</v>
      </c>
      <c r="AP48" s="484" t="str">
        <f t="shared" si="10"/>
        <v>n/a</v>
      </c>
      <c r="AQ48" s="460"/>
    </row>
    <row r="49" spans="1:20" ht="14.4">
      <c r="A49" s="437" t="s">
        <v>1870</v>
      </c>
    </row>
    <row r="50" spans="1:20" ht="14.4">
      <c r="A50" s="437" t="s">
        <v>1919</v>
      </c>
    </row>
    <row r="51" spans="1:20">
      <c r="B51" s="437"/>
      <c r="C51" s="437"/>
      <c r="D51" s="437"/>
    </row>
    <row r="53" spans="1:20">
      <c r="A53" s="437" t="s">
        <v>1920</v>
      </c>
      <c r="B53" s="437"/>
      <c r="E53" s="436"/>
    </row>
    <row r="54" spans="1:20" ht="14.4">
      <c r="A54" s="819" t="s">
        <v>1150</v>
      </c>
      <c r="B54" s="820" t="s">
        <v>1846</v>
      </c>
      <c r="C54" s="820" t="s">
        <v>1882</v>
      </c>
      <c r="D54" s="820" t="s">
        <v>1921</v>
      </c>
      <c r="E54" s="820" t="s">
        <v>1887</v>
      </c>
      <c r="F54" s="820" t="s">
        <v>1922</v>
      </c>
      <c r="G54" s="820" t="s">
        <v>1923</v>
      </c>
      <c r="H54" s="820" t="s">
        <v>1924</v>
      </c>
      <c r="I54" s="821" t="s">
        <v>1925</v>
      </c>
      <c r="K54" s="822" t="s">
        <v>1926</v>
      </c>
      <c r="L54" s="822" t="s">
        <v>1336</v>
      </c>
      <c r="M54" s="822" t="s">
        <v>1927</v>
      </c>
      <c r="N54" s="822" t="s">
        <v>1928</v>
      </c>
      <c r="O54" s="823" t="s">
        <v>1896</v>
      </c>
      <c r="P54" s="824" t="s">
        <v>1929</v>
      </c>
      <c r="Q54" s="824" t="s">
        <v>1930</v>
      </c>
      <c r="R54" s="824" t="s">
        <v>1931</v>
      </c>
      <c r="S54" s="825" t="s">
        <v>1932</v>
      </c>
      <c r="T54" s="824" t="s">
        <v>1933</v>
      </c>
    </row>
    <row r="55" spans="1:20">
      <c r="A55" s="826"/>
      <c r="C55" s="436" t="s">
        <v>1934</v>
      </c>
      <c r="D55" s="436" t="s">
        <v>1935</v>
      </c>
      <c r="E55" s="436" t="s">
        <v>1936</v>
      </c>
      <c r="F55" s="436" t="s">
        <v>1937</v>
      </c>
      <c r="G55" s="436" t="s">
        <v>1938</v>
      </c>
      <c r="H55" s="436" t="s">
        <v>1939</v>
      </c>
      <c r="I55" s="440" t="s">
        <v>1940</v>
      </c>
      <c r="K55" s="2645" t="s">
        <v>1882</v>
      </c>
      <c r="L55" s="827" t="s">
        <v>1902</v>
      </c>
      <c r="M55" s="827">
        <v>529572</v>
      </c>
      <c r="N55" s="827">
        <v>0.47</v>
      </c>
      <c r="O55" s="827">
        <v>350</v>
      </c>
      <c r="P55" s="827">
        <v>60.042500000000004</v>
      </c>
      <c r="Q55" s="827">
        <v>0.04</v>
      </c>
      <c r="R55" s="827">
        <v>1271873.0724000002</v>
      </c>
      <c r="S55" s="827">
        <v>0</v>
      </c>
      <c r="T55" s="828">
        <v>0</v>
      </c>
    </row>
    <row r="56" spans="1:20">
      <c r="A56" s="460" t="s">
        <v>1902</v>
      </c>
      <c r="B56" s="437" t="s">
        <v>1851</v>
      </c>
      <c r="C56" s="451">
        <f t="shared" ref="C56:C72" si="11">IFERROR(VLOOKUP($A56,MMS_Lagoon,6,FALSE),"n/a")</f>
        <v>0.04</v>
      </c>
      <c r="D56" s="451">
        <f t="shared" ref="D56:D72" si="12">IFERROR(VLOOKUP($A56,MMS_Liquid,6,FALSE),"n/a")</f>
        <v>0.38</v>
      </c>
      <c r="E56" s="451">
        <f t="shared" ref="E56:E72" si="13">IFERROR(VLOOKUP($A56,MMS_DailySpread,6,FALSE),"n/a")</f>
        <v>0.28999999999999998</v>
      </c>
      <c r="F56" s="451">
        <f t="shared" ref="F56:F72" si="14">IFERROR(VLOOKUP($A56,MMS_Drylot,6,FALSE),"n/a")</f>
        <v>0</v>
      </c>
      <c r="G56" s="451">
        <f t="shared" ref="G56:G72" si="15">IFERROR(VLOOKUP($A56,MMS_Paddock,6,FALSE),"n/a")</f>
        <v>0.2</v>
      </c>
      <c r="H56" s="451">
        <v>0.02</v>
      </c>
      <c r="I56" s="452">
        <f>IFERROR(VLOOKUP($A56,MMS_Digester,6,FALSE),"n/a")</f>
        <v>7.0000000000000007E-2</v>
      </c>
      <c r="K56" s="2646"/>
      <c r="L56" s="437" t="s">
        <v>1903</v>
      </c>
      <c r="M56" s="437">
        <v>998150</v>
      </c>
      <c r="N56" s="437">
        <v>0.34</v>
      </c>
      <c r="O56" s="437">
        <v>319</v>
      </c>
      <c r="P56" s="437">
        <v>39.587900000000005</v>
      </c>
      <c r="Q56" s="437">
        <v>0</v>
      </c>
      <c r="R56" s="437">
        <v>0</v>
      </c>
      <c r="S56" s="437">
        <v>0</v>
      </c>
      <c r="T56" s="450">
        <v>0</v>
      </c>
    </row>
    <row r="57" spans="1:20">
      <c r="A57" s="460" t="s">
        <v>1903</v>
      </c>
      <c r="B57" s="437" t="s">
        <v>1852</v>
      </c>
      <c r="C57" s="451">
        <f t="shared" si="11"/>
        <v>0</v>
      </c>
      <c r="D57" s="451">
        <f t="shared" si="12"/>
        <v>0</v>
      </c>
      <c r="E57" s="451">
        <f t="shared" si="13"/>
        <v>0.02</v>
      </c>
      <c r="F57" s="451">
        <f t="shared" si="14"/>
        <v>0.46</v>
      </c>
      <c r="G57" s="451">
        <f t="shared" si="15"/>
        <v>0.5</v>
      </c>
      <c r="H57" s="451">
        <v>0</v>
      </c>
      <c r="I57" s="452">
        <v>0.02</v>
      </c>
      <c r="K57" s="2646"/>
      <c r="L57" s="437" t="s">
        <v>1904</v>
      </c>
      <c r="M57" s="437">
        <v>1190886</v>
      </c>
      <c r="N57" s="437">
        <v>0.32</v>
      </c>
      <c r="O57" s="437">
        <v>380</v>
      </c>
      <c r="P57" s="437">
        <v>44.384000000000007</v>
      </c>
      <c r="Q57" s="437">
        <v>0</v>
      </c>
      <c r="R57" s="437">
        <v>0</v>
      </c>
      <c r="S57" s="437">
        <v>0</v>
      </c>
      <c r="T57" s="450">
        <v>0</v>
      </c>
    </row>
    <row r="58" spans="1:20">
      <c r="A58" s="460" t="s">
        <v>1904</v>
      </c>
      <c r="B58" s="437" t="s">
        <v>1853</v>
      </c>
      <c r="C58" s="451">
        <f t="shared" si="11"/>
        <v>0</v>
      </c>
      <c r="D58" s="451">
        <f t="shared" si="12"/>
        <v>0</v>
      </c>
      <c r="E58" s="451">
        <f t="shared" si="13"/>
        <v>0.04</v>
      </c>
      <c r="F58" s="451">
        <f t="shared" si="14"/>
        <v>0.41</v>
      </c>
      <c r="G58" s="451">
        <f t="shared" si="15"/>
        <v>0.5</v>
      </c>
      <c r="H58" s="451">
        <v>0</v>
      </c>
      <c r="I58" s="452">
        <v>0.05</v>
      </c>
      <c r="K58" s="2646"/>
      <c r="L58" s="437" t="s">
        <v>1909</v>
      </c>
      <c r="M58" s="437">
        <v>8347017</v>
      </c>
      <c r="N58" s="437">
        <v>0.5</v>
      </c>
      <c r="O58" s="437">
        <v>28</v>
      </c>
      <c r="P58" s="437">
        <v>5.1100000000000003</v>
      </c>
      <c r="Q58" s="437">
        <v>0</v>
      </c>
      <c r="R58" s="437">
        <v>0</v>
      </c>
      <c r="S58" s="437">
        <v>0</v>
      </c>
      <c r="T58" s="450">
        <v>0</v>
      </c>
    </row>
    <row r="59" spans="1:20">
      <c r="A59" s="460" t="s">
        <v>1905</v>
      </c>
      <c r="B59" s="437" t="s">
        <v>1854</v>
      </c>
      <c r="C59" s="451">
        <f t="shared" si="11"/>
        <v>0</v>
      </c>
      <c r="D59" s="451">
        <f t="shared" si="12"/>
        <v>0</v>
      </c>
      <c r="E59" s="451">
        <f t="shared" si="13"/>
        <v>0</v>
      </c>
      <c r="F59" s="451">
        <f t="shared" si="14"/>
        <v>0</v>
      </c>
      <c r="G59" s="451">
        <f t="shared" si="15"/>
        <v>0</v>
      </c>
      <c r="H59" s="451">
        <f t="shared" ref="H59:H72" si="16">IFERROR(VLOOKUP($A59,MMS_Digester,6,FALSE),"n/a")</f>
        <v>0</v>
      </c>
      <c r="I59" s="452">
        <f>IFERROR(VLOOKUP($A59,MMS_Digester,8,FALSE),"n/a")</f>
        <v>0</v>
      </c>
      <c r="K59" s="2646"/>
      <c r="L59" s="437" t="s">
        <v>1905</v>
      </c>
      <c r="M59" s="437">
        <v>43139</v>
      </c>
      <c r="N59" s="437">
        <v>1.17</v>
      </c>
      <c r="O59" s="437">
        <v>28</v>
      </c>
      <c r="P59" s="437">
        <v>11.9574</v>
      </c>
      <c r="Q59" s="437">
        <v>0</v>
      </c>
      <c r="R59" s="437">
        <v>0</v>
      </c>
      <c r="S59" s="437">
        <v>0</v>
      </c>
      <c r="T59" s="450">
        <v>0</v>
      </c>
    </row>
    <row r="60" spans="1:20">
      <c r="A60" s="460" t="s">
        <v>1906</v>
      </c>
      <c r="B60" s="437" t="s">
        <v>1856</v>
      </c>
      <c r="C60" s="451">
        <f t="shared" si="11"/>
        <v>0</v>
      </c>
      <c r="D60" s="451">
        <f t="shared" si="12"/>
        <v>0</v>
      </c>
      <c r="E60" s="451">
        <f t="shared" si="13"/>
        <v>0</v>
      </c>
      <c r="F60" s="451">
        <f t="shared" si="14"/>
        <v>0</v>
      </c>
      <c r="G60" s="451">
        <f t="shared" si="15"/>
        <v>0</v>
      </c>
      <c r="H60" s="451">
        <f t="shared" si="16"/>
        <v>0</v>
      </c>
      <c r="I60" s="452">
        <f>IFERROR(VLOOKUP($A60,MMS_Digester,8,FALSE),"n/a")</f>
        <v>0</v>
      </c>
      <c r="K60" s="2646"/>
      <c r="L60" s="437" t="s">
        <v>1906</v>
      </c>
      <c r="M60" s="437">
        <v>380277</v>
      </c>
      <c r="N60" s="437">
        <v>1.37</v>
      </c>
      <c r="O60" s="437">
        <v>30</v>
      </c>
      <c r="P60" s="437">
        <v>15.001500000000002</v>
      </c>
      <c r="Q60" s="437">
        <v>0</v>
      </c>
      <c r="R60" s="437">
        <v>0</v>
      </c>
      <c r="S60" s="437">
        <v>0</v>
      </c>
      <c r="T60" s="450">
        <v>0</v>
      </c>
    </row>
    <row r="61" spans="1:20">
      <c r="A61" s="460" t="s">
        <v>1907</v>
      </c>
      <c r="B61" s="437" t="s">
        <v>1857</v>
      </c>
      <c r="C61" s="451">
        <f t="shared" si="11"/>
        <v>0</v>
      </c>
      <c r="D61" s="451">
        <f t="shared" si="12"/>
        <v>0</v>
      </c>
      <c r="E61" s="451">
        <f t="shared" si="13"/>
        <v>0</v>
      </c>
      <c r="F61" s="451">
        <f t="shared" si="14"/>
        <v>0</v>
      </c>
      <c r="G61" s="451">
        <f t="shared" si="15"/>
        <v>0</v>
      </c>
      <c r="H61" s="451">
        <f t="shared" si="16"/>
        <v>0</v>
      </c>
      <c r="I61" s="452">
        <f>IFERROR(VLOOKUP($A61,MMS_Digester,8,FALSE),"n/a")</f>
        <v>0</v>
      </c>
      <c r="K61" s="2646"/>
      <c r="L61" s="437" t="s">
        <v>1907</v>
      </c>
      <c r="M61" s="437">
        <v>206</v>
      </c>
      <c r="N61" s="437">
        <v>0.46</v>
      </c>
      <c r="O61" s="437">
        <v>217</v>
      </c>
      <c r="P61" s="437">
        <v>36.4343</v>
      </c>
      <c r="Q61" s="437">
        <v>0</v>
      </c>
      <c r="R61" s="437" t="s">
        <v>1855</v>
      </c>
      <c r="S61" s="437">
        <v>0</v>
      </c>
      <c r="T61" s="450" t="s">
        <v>1855</v>
      </c>
    </row>
    <row r="62" spans="1:20">
      <c r="A62" s="460" t="s">
        <v>1908</v>
      </c>
      <c r="B62" s="437" t="s">
        <v>1858</v>
      </c>
      <c r="C62" s="451">
        <f t="shared" si="11"/>
        <v>0</v>
      </c>
      <c r="D62" s="451">
        <f t="shared" si="12"/>
        <v>0</v>
      </c>
      <c r="E62" s="451">
        <f t="shared" si="13"/>
        <v>0</v>
      </c>
      <c r="F62" s="451">
        <f t="shared" si="14"/>
        <v>0</v>
      </c>
      <c r="G62" s="451">
        <f t="shared" si="15"/>
        <v>0</v>
      </c>
      <c r="H62" s="451">
        <f t="shared" si="16"/>
        <v>0</v>
      </c>
      <c r="I62" s="452">
        <f>IFERROR(VLOOKUP($A62,MMS_Digester,8,FALSE),"n/a")</f>
        <v>0</v>
      </c>
      <c r="K62" s="2646"/>
      <c r="L62" s="437" t="s">
        <v>1908</v>
      </c>
      <c r="M62" s="437">
        <v>1559</v>
      </c>
      <c r="N62" s="437">
        <v>0.46</v>
      </c>
      <c r="O62" s="437">
        <v>238</v>
      </c>
      <c r="P62" s="437">
        <v>39.9602</v>
      </c>
      <c r="Q62" s="437">
        <v>0</v>
      </c>
      <c r="R62" s="437">
        <v>0</v>
      </c>
      <c r="S62" s="437">
        <v>0</v>
      </c>
      <c r="T62" s="450">
        <v>0</v>
      </c>
    </row>
    <row r="63" spans="1:20">
      <c r="A63" s="460"/>
      <c r="B63" s="437" t="s">
        <v>1859</v>
      </c>
      <c r="C63" s="451" t="str">
        <f t="shared" si="11"/>
        <v>n/a</v>
      </c>
      <c r="D63" s="451" t="str">
        <f t="shared" si="12"/>
        <v>n/a</v>
      </c>
      <c r="E63" s="451" t="str">
        <f t="shared" si="13"/>
        <v>n/a</v>
      </c>
      <c r="F63" s="451" t="str">
        <f t="shared" si="14"/>
        <v>n/a</v>
      </c>
      <c r="G63" s="451" t="str">
        <f t="shared" si="15"/>
        <v>n/a</v>
      </c>
      <c r="H63" s="451" t="str">
        <f t="shared" si="16"/>
        <v>n/a</v>
      </c>
      <c r="I63" s="452" t="str">
        <f>IFERROR(VLOOKUP($A63,MMS_Digester,8,FALSE),"n/a")</f>
        <v>n/a</v>
      </c>
      <c r="K63" s="2646"/>
      <c r="L63" s="437" t="s">
        <v>1910</v>
      </c>
      <c r="M63" s="437">
        <v>6684</v>
      </c>
      <c r="N63" s="437" t="s">
        <v>1855</v>
      </c>
      <c r="O63" s="437" t="s">
        <v>1855</v>
      </c>
      <c r="P63" s="437" t="s">
        <v>1855</v>
      </c>
      <c r="Q63" s="437">
        <v>0</v>
      </c>
      <c r="R63" s="437" t="s">
        <v>1855</v>
      </c>
      <c r="S63" s="437">
        <v>0</v>
      </c>
      <c r="T63" s="450" t="s">
        <v>1855</v>
      </c>
    </row>
    <row r="64" spans="1:20">
      <c r="A64" s="460" t="s">
        <v>1909</v>
      </c>
      <c r="B64" s="437" t="s">
        <v>1860</v>
      </c>
      <c r="C64" s="451">
        <f t="shared" si="11"/>
        <v>0</v>
      </c>
      <c r="D64" s="451">
        <f t="shared" si="12"/>
        <v>0.4</v>
      </c>
      <c r="E64" s="451">
        <f t="shared" si="13"/>
        <v>0</v>
      </c>
      <c r="F64" s="451">
        <f t="shared" si="14"/>
        <v>0.54</v>
      </c>
      <c r="G64" s="451">
        <f t="shared" si="15"/>
        <v>0</v>
      </c>
      <c r="H64" s="451">
        <f t="shared" si="16"/>
        <v>0</v>
      </c>
      <c r="I64" s="452">
        <v>7.0000000000000007E-2</v>
      </c>
      <c r="K64" s="2646"/>
      <c r="L64" s="437" t="s">
        <v>1911</v>
      </c>
      <c r="M64" s="437">
        <v>1576</v>
      </c>
      <c r="N64" s="437" t="s">
        <v>1855</v>
      </c>
      <c r="O64" s="437" t="s">
        <v>1855</v>
      </c>
      <c r="P64" s="437" t="s">
        <v>1855</v>
      </c>
      <c r="Q64" s="437">
        <v>0</v>
      </c>
      <c r="R64" s="437" t="s">
        <v>1855</v>
      </c>
      <c r="S64" s="437">
        <v>0</v>
      </c>
      <c r="T64" s="450" t="s">
        <v>1855</v>
      </c>
    </row>
    <row r="65" spans="1:20">
      <c r="A65" s="460" t="s">
        <v>1910</v>
      </c>
      <c r="B65" s="437" t="s">
        <v>1861</v>
      </c>
      <c r="C65" s="451">
        <f t="shared" si="11"/>
        <v>0</v>
      </c>
      <c r="D65" s="451">
        <f t="shared" si="12"/>
        <v>0</v>
      </c>
      <c r="E65" s="451">
        <f t="shared" si="13"/>
        <v>0</v>
      </c>
      <c r="F65" s="451">
        <f t="shared" si="14"/>
        <v>0</v>
      </c>
      <c r="G65" s="451">
        <f t="shared" si="15"/>
        <v>0</v>
      </c>
      <c r="H65" s="451">
        <f t="shared" si="16"/>
        <v>0</v>
      </c>
      <c r="I65" s="452">
        <f t="shared" ref="I65:I72" si="17">IFERROR(VLOOKUP($A65,MMS_Digester,8,FALSE),"n/a")</f>
        <v>0</v>
      </c>
      <c r="K65" s="2646"/>
      <c r="L65" s="437" t="s">
        <v>1912</v>
      </c>
      <c r="M65" s="437" t="s">
        <v>1855</v>
      </c>
      <c r="N65" s="437">
        <v>0.82</v>
      </c>
      <c r="O65" s="437">
        <v>1.8</v>
      </c>
      <c r="P65" s="437">
        <v>0.53874</v>
      </c>
      <c r="Q65" s="437">
        <v>0.01</v>
      </c>
      <c r="R65" s="437" t="s">
        <v>1855</v>
      </c>
      <c r="S65" s="437">
        <v>0</v>
      </c>
      <c r="T65" s="450" t="s">
        <v>1855</v>
      </c>
    </row>
    <row r="66" spans="1:20">
      <c r="A66" s="460" t="s">
        <v>1911</v>
      </c>
      <c r="B66" s="437" t="s">
        <v>1862</v>
      </c>
      <c r="C66" s="451">
        <f t="shared" si="11"/>
        <v>0</v>
      </c>
      <c r="D66" s="451">
        <f t="shared" si="12"/>
        <v>0</v>
      </c>
      <c r="E66" s="451">
        <f t="shared" si="13"/>
        <v>0</v>
      </c>
      <c r="F66" s="451">
        <f t="shared" si="14"/>
        <v>0</v>
      </c>
      <c r="G66" s="451">
        <f t="shared" si="15"/>
        <v>0</v>
      </c>
      <c r="H66" s="451">
        <f t="shared" si="16"/>
        <v>0</v>
      </c>
      <c r="I66" s="452">
        <f t="shared" si="17"/>
        <v>0</v>
      </c>
      <c r="K66" s="2646"/>
      <c r="L66" s="449" t="s">
        <v>1913</v>
      </c>
      <c r="M66" s="437">
        <v>266034477</v>
      </c>
      <c r="N66" s="437">
        <v>0.82</v>
      </c>
      <c r="O66" s="437">
        <v>1.8</v>
      </c>
      <c r="P66" s="437">
        <v>0.53874</v>
      </c>
      <c r="Q66" s="437">
        <v>0.01</v>
      </c>
      <c r="R66" s="437">
        <v>1433234.1413898</v>
      </c>
      <c r="S66" s="437">
        <v>0</v>
      </c>
      <c r="T66" s="450">
        <v>0</v>
      </c>
    </row>
    <row r="67" spans="1:20">
      <c r="A67" s="460" t="s">
        <v>1941</v>
      </c>
      <c r="B67" s="437" t="s">
        <v>1863</v>
      </c>
      <c r="C67" s="451" t="str">
        <f t="shared" si="11"/>
        <v>n/a</v>
      </c>
      <c r="D67" s="451" t="str">
        <f t="shared" si="12"/>
        <v>n/a</v>
      </c>
      <c r="E67" s="451" t="str">
        <f t="shared" si="13"/>
        <v>n/a</v>
      </c>
      <c r="F67" s="451" t="str">
        <f t="shared" si="14"/>
        <v>n/a</v>
      </c>
      <c r="G67" s="451" t="str">
        <f t="shared" si="15"/>
        <v>n/a</v>
      </c>
      <c r="H67" s="451" t="str">
        <f t="shared" si="16"/>
        <v>n/a</v>
      </c>
      <c r="I67" s="452" t="str">
        <f t="shared" si="17"/>
        <v>n/a</v>
      </c>
      <c r="K67" s="2646"/>
      <c r="L67" s="449" t="s">
        <v>1914</v>
      </c>
      <c r="M67" s="437">
        <v>29232925</v>
      </c>
      <c r="N67" s="437">
        <v>0.83</v>
      </c>
      <c r="O67" s="437">
        <v>1.8</v>
      </c>
      <c r="P67" s="437">
        <v>0.54531000000000007</v>
      </c>
      <c r="Q67" s="437">
        <v>0.01</v>
      </c>
      <c r="R67" s="437">
        <v>159410.06331750003</v>
      </c>
      <c r="S67" s="437">
        <v>0</v>
      </c>
      <c r="T67" s="450">
        <v>0</v>
      </c>
    </row>
    <row r="68" spans="1:20">
      <c r="A68" s="460" t="s">
        <v>1942</v>
      </c>
      <c r="B68" s="437" t="s">
        <v>1864</v>
      </c>
      <c r="C68" s="451" t="str">
        <f t="shared" si="11"/>
        <v>n/a</v>
      </c>
      <c r="D68" s="451" t="str">
        <f t="shared" si="12"/>
        <v>n/a</v>
      </c>
      <c r="E68" s="451" t="str">
        <f t="shared" si="13"/>
        <v>n/a</v>
      </c>
      <c r="F68" s="451" t="str">
        <f t="shared" si="14"/>
        <v>n/a</v>
      </c>
      <c r="G68" s="451" t="str">
        <f t="shared" si="15"/>
        <v>n/a</v>
      </c>
      <c r="H68" s="451" t="str">
        <f t="shared" si="16"/>
        <v>n/a</v>
      </c>
      <c r="I68" s="452" t="str">
        <f t="shared" si="17"/>
        <v>n/a</v>
      </c>
      <c r="K68" s="2646"/>
      <c r="L68" s="449" t="s">
        <v>1915</v>
      </c>
      <c r="M68" s="437">
        <v>203503</v>
      </c>
      <c r="N68" s="437">
        <v>0.82</v>
      </c>
      <c r="O68" s="437">
        <v>1.8</v>
      </c>
      <c r="P68" s="437">
        <v>0.53874</v>
      </c>
      <c r="Q68" s="437">
        <v>0</v>
      </c>
      <c r="R68" s="437" t="s">
        <v>1855</v>
      </c>
      <c r="S68" s="437">
        <v>0</v>
      </c>
      <c r="T68" s="450" t="s">
        <v>1855</v>
      </c>
    </row>
    <row r="69" spans="1:20">
      <c r="A69" s="460" t="s">
        <v>1943</v>
      </c>
      <c r="B69" s="437" t="s">
        <v>1865</v>
      </c>
      <c r="C69" s="451" t="str">
        <f t="shared" si="11"/>
        <v>n/a</v>
      </c>
      <c r="D69" s="451" t="str">
        <f t="shared" si="12"/>
        <v>n/a</v>
      </c>
      <c r="E69" s="451" t="str">
        <f t="shared" si="13"/>
        <v>n/a</v>
      </c>
      <c r="F69" s="451" t="str">
        <f t="shared" si="14"/>
        <v>n/a</v>
      </c>
      <c r="G69" s="451" t="str">
        <f t="shared" si="15"/>
        <v>n/a</v>
      </c>
      <c r="H69" s="451" t="str">
        <f t="shared" si="16"/>
        <v>n/a</v>
      </c>
      <c r="I69" s="452" t="str">
        <f t="shared" si="17"/>
        <v>n/a</v>
      </c>
      <c r="K69" s="2646"/>
      <c r="L69" s="449" t="s">
        <v>1916</v>
      </c>
      <c r="M69" s="437">
        <v>6056101</v>
      </c>
      <c r="N69" s="437">
        <v>0.82</v>
      </c>
      <c r="O69" s="437">
        <v>1.8</v>
      </c>
      <c r="P69" s="437">
        <v>0.53874</v>
      </c>
      <c r="Q69" s="437">
        <v>0</v>
      </c>
      <c r="R69" s="437" t="s">
        <v>1855</v>
      </c>
      <c r="S69" s="437">
        <v>0</v>
      </c>
      <c r="T69" s="450" t="s">
        <v>1855</v>
      </c>
    </row>
    <row r="70" spans="1:20">
      <c r="A70" s="460" t="s">
        <v>1944</v>
      </c>
      <c r="B70" s="437" t="s">
        <v>1866</v>
      </c>
      <c r="C70" s="451" t="str">
        <f t="shared" si="11"/>
        <v>n/a</v>
      </c>
      <c r="D70" s="451" t="str">
        <f t="shared" si="12"/>
        <v>n/a</v>
      </c>
      <c r="E70" s="451" t="str">
        <f t="shared" si="13"/>
        <v>n/a</v>
      </c>
      <c r="F70" s="451" t="str">
        <f t="shared" si="14"/>
        <v>n/a</v>
      </c>
      <c r="G70" s="451" t="str">
        <f t="shared" si="15"/>
        <v>n/a</v>
      </c>
      <c r="H70" s="451" t="str">
        <f t="shared" si="16"/>
        <v>n/a</v>
      </c>
      <c r="I70" s="452" t="str">
        <f t="shared" si="17"/>
        <v>n/a</v>
      </c>
      <c r="K70" s="2646"/>
      <c r="L70" s="449" t="s">
        <v>1917</v>
      </c>
      <c r="M70" s="437">
        <v>729</v>
      </c>
      <c r="N70" s="437" t="s">
        <v>1855</v>
      </c>
      <c r="O70" s="437" t="s">
        <v>1855</v>
      </c>
      <c r="P70" s="437" t="s">
        <v>1855</v>
      </c>
      <c r="Q70" s="437">
        <v>0</v>
      </c>
      <c r="R70" s="437" t="s">
        <v>1855</v>
      </c>
      <c r="S70" s="437">
        <v>0</v>
      </c>
      <c r="T70" s="450" t="s">
        <v>1855</v>
      </c>
    </row>
    <row r="71" spans="1:20">
      <c r="A71" s="460" t="s">
        <v>1945</v>
      </c>
      <c r="B71" s="437" t="s">
        <v>1867</v>
      </c>
      <c r="C71" s="451" t="str">
        <f t="shared" si="11"/>
        <v>n/a</v>
      </c>
      <c r="D71" s="451" t="str">
        <f t="shared" si="12"/>
        <v>n/a</v>
      </c>
      <c r="E71" s="451" t="str">
        <f t="shared" si="13"/>
        <v>n/a</v>
      </c>
      <c r="F71" s="451" t="str">
        <f t="shared" si="14"/>
        <v>n/a</v>
      </c>
      <c r="G71" s="451" t="str">
        <f t="shared" si="15"/>
        <v>n/a</v>
      </c>
      <c r="H71" s="451" t="str">
        <f t="shared" si="16"/>
        <v>n/a</v>
      </c>
      <c r="I71" s="452" t="str">
        <f t="shared" si="17"/>
        <v>n/a</v>
      </c>
      <c r="K71" s="2646"/>
      <c r="L71" s="437" t="s">
        <v>1918</v>
      </c>
      <c r="M71" s="437">
        <v>26286</v>
      </c>
      <c r="N71" s="437" t="s">
        <v>1855</v>
      </c>
      <c r="O71" s="437" t="s">
        <v>1855</v>
      </c>
      <c r="P71" s="437" t="s">
        <v>1855</v>
      </c>
      <c r="Q71" s="437">
        <v>0</v>
      </c>
      <c r="R71" s="437" t="s">
        <v>1855</v>
      </c>
      <c r="S71" s="437">
        <v>0</v>
      </c>
      <c r="T71" s="450" t="s">
        <v>1855</v>
      </c>
    </row>
    <row r="72" spans="1:20">
      <c r="A72" s="473" t="s">
        <v>1918</v>
      </c>
      <c r="B72" s="474" t="s">
        <v>1868</v>
      </c>
      <c r="C72" s="829">
        <f t="shared" si="11"/>
        <v>0</v>
      </c>
      <c r="D72" s="829">
        <f t="shared" si="12"/>
        <v>0</v>
      </c>
      <c r="E72" s="829">
        <f t="shared" si="13"/>
        <v>0</v>
      </c>
      <c r="F72" s="829">
        <f t="shared" si="14"/>
        <v>0</v>
      </c>
      <c r="G72" s="829">
        <f t="shared" si="15"/>
        <v>0</v>
      </c>
      <c r="H72" s="829">
        <f t="shared" si="16"/>
        <v>0</v>
      </c>
      <c r="I72" s="830">
        <f t="shared" si="17"/>
        <v>0</v>
      </c>
      <c r="K72" s="2647"/>
      <c r="L72" s="474" t="s">
        <v>1946</v>
      </c>
      <c r="M72" s="474" t="s">
        <v>1855</v>
      </c>
      <c r="N72" s="474" t="s">
        <v>1855</v>
      </c>
      <c r="O72" s="474" t="s">
        <v>1855</v>
      </c>
      <c r="P72" s="474" t="s">
        <v>1855</v>
      </c>
      <c r="Q72" s="474">
        <v>0</v>
      </c>
      <c r="R72" s="474" t="s">
        <v>1855</v>
      </c>
      <c r="S72" s="474">
        <v>0</v>
      </c>
      <c r="T72" s="831" t="s">
        <v>1855</v>
      </c>
    </row>
    <row r="73" spans="1:20">
      <c r="B73" s="437"/>
      <c r="E73" s="436"/>
      <c r="F73" s="436"/>
      <c r="G73" s="436"/>
      <c r="H73" s="436"/>
      <c r="K73" s="2645" t="s">
        <v>1921</v>
      </c>
      <c r="L73" s="827" t="s">
        <v>1902</v>
      </c>
      <c r="M73" s="827">
        <v>529572</v>
      </c>
      <c r="N73" s="827">
        <v>0.47</v>
      </c>
      <c r="O73" s="827">
        <v>350</v>
      </c>
      <c r="P73" s="827">
        <v>60.042500000000004</v>
      </c>
      <c r="Q73" s="827">
        <v>0.38</v>
      </c>
      <c r="R73" s="827">
        <v>12082794.187800001</v>
      </c>
      <c r="S73" s="827">
        <v>5.0000000000000001E-3</v>
      </c>
      <c r="T73" s="828">
        <v>94936.240047000014</v>
      </c>
    </row>
    <row r="74" spans="1:20">
      <c r="B74" s="437"/>
      <c r="E74" s="436"/>
      <c r="F74" s="436"/>
      <c r="G74" s="436"/>
      <c r="H74" s="436"/>
      <c r="K74" s="2646"/>
      <c r="L74" s="437" t="s">
        <v>1903</v>
      </c>
      <c r="M74" s="437">
        <v>998150</v>
      </c>
      <c r="N74" s="437">
        <v>0.34</v>
      </c>
      <c r="O74" s="437">
        <v>319</v>
      </c>
      <c r="P74" s="437">
        <v>39.587900000000005</v>
      </c>
      <c r="Q74" s="437">
        <v>0</v>
      </c>
      <c r="R74" s="437">
        <v>0</v>
      </c>
      <c r="S74" s="437">
        <v>5.0000000000000001E-3</v>
      </c>
      <c r="T74" s="450">
        <v>0</v>
      </c>
    </row>
    <row r="75" spans="1:20">
      <c r="A75" s="437" t="s">
        <v>1947</v>
      </c>
      <c r="B75" s="437"/>
      <c r="E75" s="436"/>
      <c r="F75" s="436"/>
      <c r="G75" s="436"/>
      <c r="H75" s="436"/>
      <c r="K75" s="2646"/>
      <c r="L75" s="437" t="s">
        <v>1904</v>
      </c>
      <c r="M75" s="437">
        <v>1190886</v>
      </c>
      <c r="N75" s="437">
        <v>0.32</v>
      </c>
      <c r="O75" s="437">
        <v>380</v>
      </c>
      <c r="P75" s="437">
        <v>44.384000000000007</v>
      </c>
      <c r="Q75" s="437">
        <v>0</v>
      </c>
      <c r="R75" s="437">
        <v>0</v>
      </c>
      <c r="S75" s="437">
        <v>5.0000000000000001E-3</v>
      </c>
      <c r="T75" s="450">
        <v>0</v>
      </c>
    </row>
    <row r="76" spans="1:20">
      <c r="A76" s="819" t="s">
        <v>1150</v>
      </c>
      <c r="B76" s="820" t="s">
        <v>1846</v>
      </c>
      <c r="C76" s="820" t="s">
        <v>1882</v>
      </c>
      <c r="D76" s="820" t="s">
        <v>1921</v>
      </c>
      <c r="E76" s="820" t="s">
        <v>1887</v>
      </c>
      <c r="F76" s="820" t="s">
        <v>1922</v>
      </c>
      <c r="G76" s="820" t="s">
        <v>1923</v>
      </c>
      <c r="H76" s="820" t="s">
        <v>1924</v>
      </c>
      <c r="I76" s="821" t="s">
        <v>1925</v>
      </c>
      <c r="K76" s="2646"/>
      <c r="L76" s="437" t="s">
        <v>1909</v>
      </c>
      <c r="M76" s="437">
        <v>8347017</v>
      </c>
      <c r="N76" s="437">
        <v>0.5</v>
      </c>
      <c r="O76" s="437">
        <v>28</v>
      </c>
      <c r="P76" s="437">
        <v>5.1100000000000003</v>
      </c>
      <c r="Q76" s="437">
        <v>0.4</v>
      </c>
      <c r="R76" s="437">
        <v>17061302.748000003</v>
      </c>
      <c r="S76" s="437">
        <v>5.0000000000000001E-3</v>
      </c>
      <c r="T76" s="450">
        <v>134053.09302000003</v>
      </c>
    </row>
    <row r="77" spans="1:20">
      <c r="A77" s="826"/>
      <c r="C77" s="436" t="s">
        <v>1934</v>
      </c>
      <c r="D77" s="436" t="s">
        <v>1935</v>
      </c>
      <c r="E77" s="436" t="s">
        <v>1936</v>
      </c>
      <c r="F77" s="436" t="s">
        <v>1937</v>
      </c>
      <c r="G77" s="436" t="s">
        <v>1938</v>
      </c>
      <c r="H77" s="436" t="s">
        <v>1939</v>
      </c>
      <c r="I77" s="440" t="s">
        <v>1940</v>
      </c>
      <c r="K77" s="2646"/>
      <c r="L77" s="437" t="s">
        <v>1905</v>
      </c>
      <c r="M77" s="437">
        <v>43139</v>
      </c>
      <c r="N77" s="437">
        <v>1.17</v>
      </c>
      <c r="O77" s="437">
        <v>28</v>
      </c>
      <c r="P77" s="437">
        <v>11.9574</v>
      </c>
      <c r="Q77" s="437">
        <v>0</v>
      </c>
      <c r="R77" s="437">
        <v>0</v>
      </c>
      <c r="S77" s="437">
        <v>5.0000000000000001E-3</v>
      </c>
      <c r="T77" s="450">
        <v>0</v>
      </c>
    </row>
    <row r="78" spans="1:20">
      <c r="A78" s="460" t="s">
        <v>1902</v>
      </c>
      <c r="B78" s="437" t="s">
        <v>1851</v>
      </c>
      <c r="C78" s="436">
        <f t="shared" ref="C78:C94" si="18">IFERROR(VLOOKUP($A78,MMS_Lagoon,8,FALSE),"n/a")</f>
        <v>0</v>
      </c>
      <c r="D78" s="436">
        <f t="shared" ref="D78:D94" si="19">IFERROR(VLOOKUP($A78,MMS_Liquid,8,FALSE),"n/a")</f>
        <v>5.0000000000000001E-3</v>
      </c>
      <c r="E78" s="436">
        <f t="shared" ref="E78:E94" si="20">IFERROR(VLOOKUP($A78,MMS_DailySpread,8,FALSE),"n/a")</f>
        <v>0</v>
      </c>
      <c r="F78" s="436">
        <f t="shared" ref="F78:F94" si="21">IFERROR(VLOOKUP($A78,MMS_Drylot,8,FALSE),"n/a")</f>
        <v>0.02</v>
      </c>
      <c r="G78" s="436">
        <f t="shared" ref="G78:G94" si="22">IFERROR(VLOOKUP($A78,MMS_Paddock,8,FALSE),"n/a")</f>
        <v>0.02</v>
      </c>
      <c r="H78" s="436">
        <f t="shared" ref="H78:I94" si="23">IFERROR(VLOOKUP($A78,MMS_Digester,8,FALSE),"n/a")</f>
        <v>0</v>
      </c>
      <c r="I78" s="440">
        <f t="shared" si="23"/>
        <v>0</v>
      </c>
      <c r="K78" s="2646"/>
      <c r="L78" s="437" t="s">
        <v>1906</v>
      </c>
      <c r="M78" s="437">
        <v>380277</v>
      </c>
      <c r="N78" s="437">
        <v>1.37</v>
      </c>
      <c r="O78" s="437">
        <v>30</v>
      </c>
      <c r="P78" s="437">
        <v>15.001500000000002</v>
      </c>
      <c r="Q78" s="437">
        <v>0</v>
      </c>
      <c r="R78" s="437">
        <v>0</v>
      </c>
      <c r="S78" s="437">
        <v>5.0000000000000001E-3</v>
      </c>
      <c r="T78" s="450">
        <v>0</v>
      </c>
    </row>
    <row r="79" spans="1:20">
      <c r="A79" s="460" t="s">
        <v>1903</v>
      </c>
      <c r="B79" s="437" t="s">
        <v>1852</v>
      </c>
      <c r="C79" s="436">
        <f t="shared" si="18"/>
        <v>0</v>
      </c>
      <c r="D79" s="436">
        <f t="shared" si="19"/>
        <v>5.0000000000000001E-3</v>
      </c>
      <c r="E79" s="436">
        <f t="shared" si="20"/>
        <v>0</v>
      </c>
      <c r="F79" s="436">
        <f t="shared" si="21"/>
        <v>0.02</v>
      </c>
      <c r="G79" s="436">
        <f t="shared" si="22"/>
        <v>0.02</v>
      </c>
      <c r="H79" s="436">
        <f t="shared" si="23"/>
        <v>0</v>
      </c>
      <c r="I79" s="440">
        <f t="shared" si="23"/>
        <v>0</v>
      </c>
      <c r="K79" s="2646"/>
      <c r="L79" s="437" t="s">
        <v>1907</v>
      </c>
      <c r="M79" s="437">
        <v>206</v>
      </c>
      <c r="N79" s="437">
        <v>0.46</v>
      </c>
      <c r="O79" s="437">
        <v>217</v>
      </c>
      <c r="P79" s="437">
        <v>36.4343</v>
      </c>
      <c r="Q79" s="437">
        <v>0</v>
      </c>
      <c r="R79" s="437" t="s">
        <v>1855</v>
      </c>
      <c r="S79" s="437">
        <v>5.0000000000000001E-3</v>
      </c>
      <c r="T79" s="450">
        <v>0</v>
      </c>
    </row>
    <row r="80" spans="1:20">
      <c r="A80" s="460" t="s">
        <v>1904</v>
      </c>
      <c r="B80" s="437" t="s">
        <v>1853</v>
      </c>
      <c r="C80" s="436">
        <f t="shared" si="18"/>
        <v>0</v>
      </c>
      <c r="D80" s="436">
        <f t="shared" si="19"/>
        <v>5.0000000000000001E-3</v>
      </c>
      <c r="E80" s="436">
        <f t="shared" si="20"/>
        <v>0</v>
      </c>
      <c r="F80" s="436">
        <f t="shared" si="21"/>
        <v>0.02</v>
      </c>
      <c r="G80" s="436">
        <f t="shared" si="22"/>
        <v>0.02</v>
      </c>
      <c r="H80" s="436">
        <f t="shared" si="23"/>
        <v>0</v>
      </c>
      <c r="I80" s="440">
        <f t="shared" si="23"/>
        <v>0</v>
      </c>
      <c r="K80" s="2646"/>
      <c r="L80" s="437" t="s">
        <v>1908</v>
      </c>
      <c r="M80" s="437">
        <v>1559</v>
      </c>
      <c r="N80" s="437">
        <v>0.46</v>
      </c>
      <c r="O80" s="437">
        <v>238</v>
      </c>
      <c r="P80" s="437">
        <v>39.9602</v>
      </c>
      <c r="Q80" s="437">
        <v>0</v>
      </c>
      <c r="R80" s="437">
        <v>0</v>
      </c>
      <c r="S80" s="437">
        <v>5.0000000000000001E-3</v>
      </c>
      <c r="T80" s="450">
        <v>0</v>
      </c>
    </row>
    <row r="81" spans="1:20">
      <c r="A81" s="460" t="s">
        <v>1905</v>
      </c>
      <c r="B81" s="437" t="s">
        <v>1854</v>
      </c>
      <c r="C81" s="436">
        <f t="shared" si="18"/>
        <v>0</v>
      </c>
      <c r="D81" s="436">
        <f t="shared" si="19"/>
        <v>5.0000000000000001E-3</v>
      </c>
      <c r="E81" s="436">
        <f t="shared" si="20"/>
        <v>0</v>
      </c>
      <c r="F81" s="436">
        <f t="shared" si="21"/>
        <v>0.02</v>
      </c>
      <c r="G81" s="436">
        <f t="shared" si="22"/>
        <v>0.02</v>
      </c>
      <c r="H81" s="436">
        <f t="shared" si="23"/>
        <v>0</v>
      </c>
      <c r="I81" s="440">
        <f t="shared" si="23"/>
        <v>0</v>
      </c>
      <c r="K81" s="2646"/>
      <c r="L81" s="437" t="s">
        <v>1910</v>
      </c>
      <c r="M81" s="437">
        <v>6684</v>
      </c>
      <c r="N81" s="437" t="s">
        <v>1855</v>
      </c>
      <c r="O81" s="437" t="s">
        <v>1855</v>
      </c>
      <c r="P81" s="437" t="s">
        <v>1855</v>
      </c>
      <c r="Q81" s="437">
        <v>0</v>
      </c>
      <c r="R81" s="437" t="s">
        <v>1855</v>
      </c>
      <c r="S81" s="437">
        <v>5.0000000000000001E-3</v>
      </c>
      <c r="T81" s="450">
        <v>0</v>
      </c>
    </row>
    <row r="82" spans="1:20">
      <c r="A82" s="460" t="s">
        <v>1906</v>
      </c>
      <c r="B82" s="437" t="s">
        <v>1856</v>
      </c>
      <c r="C82" s="436">
        <f t="shared" si="18"/>
        <v>0</v>
      </c>
      <c r="D82" s="436">
        <f t="shared" si="19"/>
        <v>5.0000000000000001E-3</v>
      </c>
      <c r="E82" s="436">
        <f t="shared" si="20"/>
        <v>0</v>
      </c>
      <c r="F82" s="436">
        <f t="shared" si="21"/>
        <v>0.02</v>
      </c>
      <c r="G82" s="436">
        <f t="shared" si="22"/>
        <v>0.02</v>
      </c>
      <c r="H82" s="436">
        <f t="shared" si="23"/>
        <v>0</v>
      </c>
      <c r="I82" s="440">
        <f t="shared" si="23"/>
        <v>0</v>
      </c>
      <c r="K82" s="2646"/>
      <c r="L82" s="437" t="s">
        <v>1911</v>
      </c>
      <c r="M82" s="437">
        <v>1576</v>
      </c>
      <c r="N82" s="437" t="s">
        <v>1855</v>
      </c>
      <c r="O82" s="437" t="s">
        <v>1855</v>
      </c>
      <c r="P82" s="437" t="s">
        <v>1855</v>
      </c>
      <c r="Q82" s="437">
        <v>0</v>
      </c>
      <c r="R82" s="437" t="s">
        <v>1855</v>
      </c>
      <c r="S82" s="437">
        <v>5.0000000000000001E-3</v>
      </c>
      <c r="T82" s="450">
        <v>0</v>
      </c>
    </row>
    <row r="83" spans="1:20">
      <c r="A83" s="460" t="s">
        <v>1907</v>
      </c>
      <c r="B83" s="437" t="s">
        <v>1857</v>
      </c>
      <c r="C83" s="436">
        <f t="shared" si="18"/>
        <v>0</v>
      </c>
      <c r="D83" s="436">
        <f t="shared" si="19"/>
        <v>5.0000000000000001E-3</v>
      </c>
      <c r="E83" s="436">
        <f t="shared" si="20"/>
        <v>0</v>
      </c>
      <c r="F83" s="436">
        <f t="shared" si="21"/>
        <v>0.02</v>
      </c>
      <c r="G83" s="436">
        <f t="shared" si="22"/>
        <v>0.02</v>
      </c>
      <c r="H83" s="436">
        <f t="shared" si="23"/>
        <v>0</v>
      </c>
      <c r="I83" s="440">
        <f t="shared" si="23"/>
        <v>0</v>
      </c>
      <c r="K83" s="2646"/>
      <c r="L83" s="437" t="s">
        <v>1912</v>
      </c>
      <c r="M83" s="437" t="s">
        <v>1855</v>
      </c>
      <c r="N83" s="437">
        <v>0.82</v>
      </c>
      <c r="O83" s="437">
        <v>1.8</v>
      </c>
      <c r="P83" s="437">
        <v>0.53874</v>
      </c>
      <c r="Q83" s="437">
        <v>0.25</v>
      </c>
      <c r="R83" s="437" t="s">
        <v>1855</v>
      </c>
      <c r="S83" s="437">
        <v>5.0000000000000001E-3</v>
      </c>
      <c r="T83" s="450" t="s">
        <v>1855</v>
      </c>
    </row>
    <row r="84" spans="1:20">
      <c r="A84" s="460" t="s">
        <v>1908</v>
      </c>
      <c r="B84" s="437" t="s">
        <v>1858</v>
      </c>
      <c r="C84" s="436">
        <f t="shared" si="18"/>
        <v>0</v>
      </c>
      <c r="D84" s="436">
        <f t="shared" si="19"/>
        <v>5.0000000000000001E-3</v>
      </c>
      <c r="E84" s="436">
        <f t="shared" si="20"/>
        <v>0</v>
      </c>
      <c r="F84" s="436">
        <f t="shared" si="21"/>
        <v>0.02</v>
      </c>
      <c r="G84" s="436">
        <f t="shared" si="22"/>
        <v>0.02</v>
      </c>
      <c r="H84" s="436">
        <f t="shared" si="23"/>
        <v>0</v>
      </c>
      <c r="I84" s="440">
        <f t="shared" si="23"/>
        <v>0</v>
      </c>
      <c r="K84" s="2646"/>
      <c r="L84" s="449" t="s">
        <v>1913</v>
      </c>
      <c r="M84" s="437">
        <v>266034477</v>
      </c>
      <c r="N84" s="437">
        <v>0.82</v>
      </c>
      <c r="O84" s="437">
        <v>1.8</v>
      </c>
      <c r="P84" s="437">
        <v>0.53874</v>
      </c>
      <c r="Q84" s="437">
        <v>0.25</v>
      </c>
      <c r="R84" s="437">
        <v>35830853.534745</v>
      </c>
      <c r="S84" s="437">
        <v>5.0000000000000001E-3</v>
      </c>
      <c r="T84" s="450">
        <v>281528.13491585356</v>
      </c>
    </row>
    <row r="85" spans="1:20">
      <c r="A85" s="460"/>
      <c r="B85" s="437" t="s">
        <v>1859</v>
      </c>
      <c r="C85" s="436" t="str">
        <f t="shared" si="18"/>
        <v>n/a</v>
      </c>
      <c r="D85" s="436" t="str">
        <f t="shared" si="19"/>
        <v>n/a</v>
      </c>
      <c r="E85" s="436" t="str">
        <f t="shared" si="20"/>
        <v>n/a</v>
      </c>
      <c r="F85" s="436" t="str">
        <f t="shared" si="21"/>
        <v>n/a</v>
      </c>
      <c r="G85" s="436" t="str">
        <f t="shared" si="22"/>
        <v>n/a</v>
      </c>
      <c r="H85" s="436" t="str">
        <f t="shared" si="23"/>
        <v>n/a</v>
      </c>
      <c r="I85" s="440" t="str">
        <f t="shared" si="23"/>
        <v>n/a</v>
      </c>
      <c r="K85" s="2646"/>
      <c r="L85" s="449" t="s">
        <v>1914</v>
      </c>
      <c r="M85" s="437">
        <v>29232925</v>
      </c>
      <c r="N85" s="437">
        <v>0.83</v>
      </c>
      <c r="O85" s="437">
        <v>1.8</v>
      </c>
      <c r="P85" s="437">
        <v>0.54531000000000007</v>
      </c>
      <c r="Q85" s="437">
        <v>0.25</v>
      </c>
      <c r="R85" s="437">
        <v>3985251.5829375004</v>
      </c>
      <c r="S85" s="437">
        <v>5.0000000000000001E-3</v>
      </c>
      <c r="T85" s="450">
        <v>31312.691008794649</v>
      </c>
    </row>
    <row r="86" spans="1:20">
      <c r="A86" s="460" t="s">
        <v>1909</v>
      </c>
      <c r="B86" s="437" t="s">
        <v>1860</v>
      </c>
      <c r="C86" s="436">
        <f t="shared" si="18"/>
        <v>0</v>
      </c>
      <c r="D86" s="436">
        <f t="shared" si="19"/>
        <v>5.0000000000000001E-3</v>
      </c>
      <c r="E86" s="436">
        <f t="shared" si="20"/>
        <v>0</v>
      </c>
      <c r="F86" s="436">
        <f t="shared" si="21"/>
        <v>0.02</v>
      </c>
      <c r="G86" s="436">
        <f t="shared" si="22"/>
        <v>0.02</v>
      </c>
      <c r="H86" s="436">
        <f t="shared" si="23"/>
        <v>0</v>
      </c>
      <c r="I86" s="440">
        <f t="shared" si="23"/>
        <v>0</v>
      </c>
      <c r="K86" s="2646"/>
      <c r="L86" s="449" t="s">
        <v>1915</v>
      </c>
      <c r="M86" s="437">
        <v>203503</v>
      </c>
      <c r="N86" s="437">
        <v>0.82</v>
      </c>
      <c r="O86" s="437">
        <v>1.8</v>
      </c>
      <c r="P86" s="437">
        <v>0.53874</v>
      </c>
      <c r="Q86" s="437">
        <v>0</v>
      </c>
      <c r="R86" s="437" t="s">
        <v>1855</v>
      </c>
      <c r="S86" s="437">
        <v>5.0000000000000001E-3</v>
      </c>
      <c r="T86" s="450">
        <v>0</v>
      </c>
    </row>
    <row r="87" spans="1:20">
      <c r="A87" s="460" t="s">
        <v>1910</v>
      </c>
      <c r="B87" s="437" t="s">
        <v>1861</v>
      </c>
      <c r="C87" s="436">
        <f t="shared" si="18"/>
        <v>0</v>
      </c>
      <c r="D87" s="436">
        <f t="shared" si="19"/>
        <v>5.0000000000000001E-3</v>
      </c>
      <c r="E87" s="436">
        <f t="shared" si="20"/>
        <v>0</v>
      </c>
      <c r="F87" s="436">
        <f t="shared" si="21"/>
        <v>0.02</v>
      </c>
      <c r="G87" s="436">
        <f t="shared" si="22"/>
        <v>0.02</v>
      </c>
      <c r="H87" s="436">
        <f t="shared" si="23"/>
        <v>0</v>
      </c>
      <c r="I87" s="440">
        <f t="shared" si="23"/>
        <v>0</v>
      </c>
      <c r="K87" s="2646"/>
      <c r="L87" s="449" t="s">
        <v>1916</v>
      </c>
      <c r="M87" s="437">
        <v>6056101</v>
      </c>
      <c r="N87" s="437">
        <v>0.82</v>
      </c>
      <c r="O87" s="437">
        <v>1.8</v>
      </c>
      <c r="P87" s="437">
        <v>0.53874</v>
      </c>
      <c r="Q87" s="437">
        <v>0</v>
      </c>
      <c r="R87" s="437" t="s">
        <v>1855</v>
      </c>
      <c r="S87" s="437">
        <v>5.0000000000000001E-3</v>
      </c>
      <c r="T87" s="450">
        <v>0</v>
      </c>
    </row>
    <row r="88" spans="1:20">
      <c r="A88" s="460" t="s">
        <v>1911</v>
      </c>
      <c r="B88" s="437" t="s">
        <v>1862</v>
      </c>
      <c r="C88" s="436">
        <f t="shared" si="18"/>
        <v>0</v>
      </c>
      <c r="D88" s="436">
        <f t="shared" si="19"/>
        <v>5.0000000000000001E-3</v>
      </c>
      <c r="E88" s="436">
        <f t="shared" si="20"/>
        <v>0</v>
      </c>
      <c r="F88" s="436">
        <f t="shared" si="21"/>
        <v>0.02</v>
      </c>
      <c r="G88" s="436">
        <f t="shared" si="22"/>
        <v>0.02</v>
      </c>
      <c r="H88" s="436">
        <f t="shared" si="23"/>
        <v>0</v>
      </c>
      <c r="I88" s="440">
        <f t="shared" si="23"/>
        <v>0</v>
      </c>
      <c r="K88" s="2646"/>
      <c r="L88" s="449" t="s">
        <v>1917</v>
      </c>
      <c r="M88" s="437">
        <v>729</v>
      </c>
      <c r="N88" s="437" t="s">
        <v>1855</v>
      </c>
      <c r="O88" s="437" t="s">
        <v>1855</v>
      </c>
      <c r="P88" s="437" t="s">
        <v>1855</v>
      </c>
      <c r="Q88" s="437">
        <v>0</v>
      </c>
      <c r="R88" s="437" t="s">
        <v>1855</v>
      </c>
      <c r="S88" s="437">
        <v>5.0000000000000001E-3</v>
      </c>
      <c r="T88" s="450">
        <v>0</v>
      </c>
    </row>
    <row r="89" spans="1:20">
      <c r="A89" s="460" t="s">
        <v>1941</v>
      </c>
      <c r="B89" s="437" t="s">
        <v>1863</v>
      </c>
      <c r="C89" s="436" t="str">
        <f t="shared" si="18"/>
        <v>n/a</v>
      </c>
      <c r="D89" s="436" t="str">
        <f t="shared" si="19"/>
        <v>n/a</v>
      </c>
      <c r="E89" s="436" t="str">
        <f t="shared" si="20"/>
        <v>n/a</v>
      </c>
      <c r="F89" s="436" t="str">
        <f t="shared" si="21"/>
        <v>n/a</v>
      </c>
      <c r="G89" s="436" t="str">
        <f t="shared" si="22"/>
        <v>n/a</v>
      </c>
      <c r="H89" s="436" t="str">
        <f t="shared" si="23"/>
        <v>n/a</v>
      </c>
      <c r="I89" s="440" t="str">
        <f t="shared" si="23"/>
        <v>n/a</v>
      </c>
      <c r="K89" s="2646"/>
      <c r="L89" s="437" t="s">
        <v>1918</v>
      </c>
      <c r="M89" s="437">
        <v>26286</v>
      </c>
      <c r="N89" s="437" t="s">
        <v>1855</v>
      </c>
      <c r="O89" s="437" t="s">
        <v>1855</v>
      </c>
      <c r="P89" s="437" t="s">
        <v>1855</v>
      </c>
      <c r="Q89" s="437">
        <v>0</v>
      </c>
      <c r="R89" s="437" t="s">
        <v>1855</v>
      </c>
      <c r="S89" s="437">
        <v>5.0000000000000001E-3</v>
      </c>
      <c r="T89" s="450">
        <v>0</v>
      </c>
    </row>
    <row r="90" spans="1:20">
      <c r="A90" s="460" t="s">
        <v>1942</v>
      </c>
      <c r="B90" s="437" t="s">
        <v>1864</v>
      </c>
      <c r="C90" s="436" t="str">
        <f t="shared" si="18"/>
        <v>n/a</v>
      </c>
      <c r="D90" s="436" t="str">
        <f t="shared" si="19"/>
        <v>n/a</v>
      </c>
      <c r="E90" s="436" t="str">
        <f t="shared" si="20"/>
        <v>n/a</v>
      </c>
      <c r="F90" s="436" t="str">
        <f t="shared" si="21"/>
        <v>n/a</v>
      </c>
      <c r="G90" s="436" t="str">
        <f t="shared" si="22"/>
        <v>n/a</v>
      </c>
      <c r="H90" s="436" t="str">
        <f t="shared" si="23"/>
        <v>n/a</v>
      </c>
      <c r="I90" s="440" t="str">
        <f t="shared" si="23"/>
        <v>n/a</v>
      </c>
      <c r="K90" s="2647"/>
      <c r="L90" s="474" t="s">
        <v>1946</v>
      </c>
      <c r="M90" s="474" t="s">
        <v>1855</v>
      </c>
      <c r="N90" s="474" t="s">
        <v>1855</v>
      </c>
      <c r="O90" s="474" t="s">
        <v>1855</v>
      </c>
      <c r="P90" s="474" t="s">
        <v>1855</v>
      </c>
      <c r="Q90" s="474">
        <v>0</v>
      </c>
      <c r="R90" s="474" t="s">
        <v>1855</v>
      </c>
      <c r="S90" s="474">
        <v>5.0000000000000001E-3</v>
      </c>
      <c r="T90" s="831">
        <v>0</v>
      </c>
    </row>
    <row r="91" spans="1:20">
      <c r="A91" s="460" t="s">
        <v>1943</v>
      </c>
      <c r="B91" s="437" t="s">
        <v>1865</v>
      </c>
      <c r="C91" s="436" t="str">
        <f t="shared" si="18"/>
        <v>n/a</v>
      </c>
      <c r="D91" s="436" t="str">
        <f t="shared" si="19"/>
        <v>n/a</v>
      </c>
      <c r="E91" s="436" t="str">
        <f t="shared" si="20"/>
        <v>n/a</v>
      </c>
      <c r="F91" s="436" t="str">
        <f t="shared" si="21"/>
        <v>n/a</v>
      </c>
      <c r="G91" s="436" t="str">
        <f t="shared" si="22"/>
        <v>n/a</v>
      </c>
      <c r="H91" s="436" t="str">
        <f t="shared" si="23"/>
        <v>n/a</v>
      </c>
      <c r="I91" s="440" t="str">
        <f t="shared" si="23"/>
        <v>n/a</v>
      </c>
      <c r="K91" s="2645" t="s">
        <v>1887</v>
      </c>
      <c r="L91" s="827" t="s">
        <v>1902</v>
      </c>
      <c r="M91" s="827">
        <v>529572</v>
      </c>
      <c r="N91" s="827">
        <v>0.47</v>
      </c>
      <c r="O91" s="827">
        <v>350</v>
      </c>
      <c r="P91" s="827">
        <v>60.042500000000004</v>
      </c>
      <c r="Q91" s="827">
        <v>0.28999999999999998</v>
      </c>
      <c r="R91" s="827">
        <v>9221079.7749000005</v>
      </c>
      <c r="S91" s="827">
        <v>0</v>
      </c>
      <c r="T91" s="828">
        <v>0</v>
      </c>
    </row>
    <row r="92" spans="1:20">
      <c r="A92" s="460" t="s">
        <v>1944</v>
      </c>
      <c r="B92" s="437" t="s">
        <v>1866</v>
      </c>
      <c r="C92" s="436" t="str">
        <f t="shared" si="18"/>
        <v>n/a</v>
      </c>
      <c r="D92" s="436" t="str">
        <f t="shared" si="19"/>
        <v>n/a</v>
      </c>
      <c r="E92" s="436" t="str">
        <f t="shared" si="20"/>
        <v>n/a</v>
      </c>
      <c r="F92" s="436" t="str">
        <f t="shared" si="21"/>
        <v>n/a</v>
      </c>
      <c r="G92" s="436" t="str">
        <f t="shared" si="22"/>
        <v>n/a</v>
      </c>
      <c r="H92" s="436" t="str">
        <f t="shared" si="23"/>
        <v>n/a</v>
      </c>
      <c r="I92" s="440" t="str">
        <f t="shared" si="23"/>
        <v>n/a</v>
      </c>
      <c r="K92" s="2646"/>
      <c r="L92" s="437" t="s">
        <v>1903</v>
      </c>
      <c r="M92" s="437">
        <v>998150</v>
      </c>
      <c r="N92" s="437">
        <v>0.34</v>
      </c>
      <c r="O92" s="437">
        <v>319</v>
      </c>
      <c r="P92" s="437">
        <v>39.587900000000005</v>
      </c>
      <c r="Q92" s="437">
        <v>0.02</v>
      </c>
      <c r="R92" s="437">
        <v>790293.24770000018</v>
      </c>
      <c r="S92" s="437">
        <v>0</v>
      </c>
      <c r="T92" s="450">
        <v>0</v>
      </c>
    </row>
    <row r="93" spans="1:20">
      <c r="A93" s="460" t="s">
        <v>1945</v>
      </c>
      <c r="B93" s="437" t="s">
        <v>1867</v>
      </c>
      <c r="C93" s="436" t="str">
        <f t="shared" si="18"/>
        <v>n/a</v>
      </c>
      <c r="D93" s="436" t="str">
        <f t="shared" si="19"/>
        <v>n/a</v>
      </c>
      <c r="E93" s="436" t="str">
        <f t="shared" si="20"/>
        <v>n/a</v>
      </c>
      <c r="F93" s="436" t="str">
        <f t="shared" si="21"/>
        <v>n/a</v>
      </c>
      <c r="G93" s="436" t="str">
        <f t="shared" si="22"/>
        <v>n/a</v>
      </c>
      <c r="H93" s="436" t="str">
        <f t="shared" si="23"/>
        <v>n/a</v>
      </c>
      <c r="I93" s="440" t="str">
        <f t="shared" si="23"/>
        <v>n/a</v>
      </c>
      <c r="K93" s="2646"/>
      <c r="L93" s="437" t="s">
        <v>1904</v>
      </c>
      <c r="M93" s="437">
        <v>1190886</v>
      </c>
      <c r="N93" s="437">
        <v>0.32</v>
      </c>
      <c r="O93" s="437">
        <v>380</v>
      </c>
      <c r="P93" s="437">
        <v>44.384000000000007</v>
      </c>
      <c r="Q93" s="437">
        <v>0.04</v>
      </c>
      <c r="R93" s="437">
        <v>2114251.3689600001</v>
      </c>
      <c r="S93" s="437">
        <v>0</v>
      </c>
      <c r="T93" s="450">
        <v>0</v>
      </c>
    </row>
    <row r="94" spans="1:20">
      <c r="A94" s="473" t="s">
        <v>1918</v>
      </c>
      <c r="B94" s="474" t="s">
        <v>1868</v>
      </c>
      <c r="C94" s="814">
        <f t="shared" si="18"/>
        <v>0</v>
      </c>
      <c r="D94" s="814">
        <f t="shared" si="19"/>
        <v>5.0000000000000001E-3</v>
      </c>
      <c r="E94" s="814">
        <f t="shared" si="20"/>
        <v>0</v>
      </c>
      <c r="F94" s="814">
        <f t="shared" si="21"/>
        <v>0.02</v>
      </c>
      <c r="G94" s="814">
        <f t="shared" si="22"/>
        <v>0.02</v>
      </c>
      <c r="H94" s="814">
        <f t="shared" si="23"/>
        <v>0</v>
      </c>
      <c r="I94" s="816">
        <f t="shared" si="23"/>
        <v>0</v>
      </c>
      <c r="K94" s="2646"/>
      <c r="L94" s="437" t="s">
        <v>1909</v>
      </c>
      <c r="M94" s="437">
        <v>8347017</v>
      </c>
      <c r="N94" s="437">
        <v>0.5</v>
      </c>
      <c r="O94" s="437">
        <v>28</v>
      </c>
      <c r="P94" s="437">
        <v>5.1100000000000003</v>
      </c>
      <c r="Q94" s="437">
        <v>0</v>
      </c>
      <c r="R94" s="437">
        <v>0</v>
      </c>
      <c r="S94" s="437">
        <v>0</v>
      </c>
      <c r="T94" s="450">
        <v>0</v>
      </c>
    </row>
    <row r="95" spans="1:20">
      <c r="K95" s="2646"/>
      <c r="L95" s="437" t="s">
        <v>1905</v>
      </c>
      <c r="M95" s="437">
        <v>43139</v>
      </c>
      <c r="N95" s="437">
        <v>1.17</v>
      </c>
      <c r="O95" s="437">
        <v>28</v>
      </c>
      <c r="P95" s="437">
        <v>11.9574</v>
      </c>
      <c r="Q95" s="437">
        <v>0</v>
      </c>
      <c r="R95" s="437">
        <v>0</v>
      </c>
      <c r="S95" s="437">
        <v>0</v>
      </c>
      <c r="T95" s="450">
        <v>0</v>
      </c>
    </row>
    <row r="96" spans="1:20">
      <c r="K96" s="2646"/>
      <c r="L96" s="437" t="s">
        <v>1906</v>
      </c>
      <c r="M96" s="437">
        <v>380277</v>
      </c>
      <c r="N96" s="437">
        <v>1.37</v>
      </c>
      <c r="O96" s="437">
        <v>30</v>
      </c>
      <c r="P96" s="437">
        <v>15.001500000000002</v>
      </c>
      <c r="Q96" s="437">
        <v>0</v>
      </c>
      <c r="R96" s="437">
        <v>0</v>
      </c>
      <c r="S96" s="437">
        <v>0</v>
      </c>
      <c r="T96" s="450">
        <v>0</v>
      </c>
    </row>
    <row r="97" spans="11:20">
      <c r="K97" s="2646"/>
      <c r="L97" s="437" t="s">
        <v>1907</v>
      </c>
      <c r="M97" s="437">
        <v>206</v>
      </c>
      <c r="N97" s="437">
        <v>0.46</v>
      </c>
      <c r="O97" s="437">
        <v>217</v>
      </c>
      <c r="P97" s="437">
        <v>36.4343</v>
      </c>
      <c r="Q97" s="437">
        <v>0</v>
      </c>
      <c r="R97" s="437" t="s">
        <v>1855</v>
      </c>
      <c r="S97" s="437">
        <v>0</v>
      </c>
      <c r="T97" s="450">
        <v>0</v>
      </c>
    </row>
    <row r="98" spans="11:20">
      <c r="K98" s="2646"/>
      <c r="L98" s="437" t="s">
        <v>1908</v>
      </c>
      <c r="M98" s="437">
        <v>1559</v>
      </c>
      <c r="N98" s="437">
        <v>0.46</v>
      </c>
      <c r="O98" s="437">
        <v>238</v>
      </c>
      <c r="P98" s="437">
        <v>39.9602</v>
      </c>
      <c r="Q98" s="437">
        <v>0</v>
      </c>
      <c r="R98" s="437">
        <v>0</v>
      </c>
      <c r="S98" s="437">
        <v>0</v>
      </c>
      <c r="T98" s="450">
        <v>0</v>
      </c>
    </row>
    <row r="99" spans="11:20">
      <c r="K99" s="2646"/>
      <c r="L99" s="437" t="s">
        <v>1910</v>
      </c>
      <c r="M99" s="437">
        <v>6684</v>
      </c>
      <c r="N99" s="437" t="s">
        <v>1855</v>
      </c>
      <c r="O99" s="437" t="s">
        <v>1855</v>
      </c>
      <c r="P99" s="437" t="s">
        <v>1855</v>
      </c>
      <c r="Q99" s="437">
        <v>0</v>
      </c>
      <c r="R99" s="437" t="s">
        <v>1855</v>
      </c>
      <c r="S99" s="437">
        <v>0</v>
      </c>
      <c r="T99" s="450">
        <v>0</v>
      </c>
    </row>
    <row r="100" spans="11:20">
      <c r="K100" s="2646"/>
      <c r="L100" s="437" t="s">
        <v>1911</v>
      </c>
      <c r="M100" s="437">
        <v>1576</v>
      </c>
      <c r="N100" s="437" t="s">
        <v>1855</v>
      </c>
      <c r="O100" s="437" t="s">
        <v>1855</v>
      </c>
      <c r="P100" s="437" t="s">
        <v>1855</v>
      </c>
      <c r="Q100" s="437">
        <v>0</v>
      </c>
      <c r="R100" s="437" t="s">
        <v>1855</v>
      </c>
      <c r="S100" s="437">
        <v>0</v>
      </c>
      <c r="T100" s="450">
        <v>0</v>
      </c>
    </row>
    <row r="101" spans="11:20">
      <c r="K101" s="2646"/>
      <c r="L101" s="437" t="s">
        <v>1912</v>
      </c>
      <c r="M101" s="437" t="s">
        <v>1855</v>
      </c>
      <c r="N101" s="437">
        <v>0.82</v>
      </c>
      <c r="O101" s="437">
        <v>1.8</v>
      </c>
      <c r="P101" s="437">
        <v>0.53874</v>
      </c>
      <c r="Q101" s="437">
        <v>0</v>
      </c>
      <c r="R101" s="437" t="s">
        <v>1855</v>
      </c>
      <c r="S101" s="437">
        <v>0</v>
      </c>
      <c r="T101" s="450" t="s">
        <v>1855</v>
      </c>
    </row>
    <row r="102" spans="11:20">
      <c r="K102" s="2646"/>
      <c r="L102" s="449" t="s">
        <v>1913</v>
      </c>
      <c r="M102" s="437">
        <v>266034477</v>
      </c>
      <c r="N102" s="437">
        <v>0.82</v>
      </c>
      <c r="O102" s="437">
        <v>1.8</v>
      </c>
      <c r="P102" s="437">
        <v>0.53874</v>
      </c>
      <c r="Q102" s="437">
        <v>0</v>
      </c>
      <c r="R102" s="437">
        <v>0</v>
      </c>
      <c r="S102" s="437">
        <v>0</v>
      </c>
      <c r="T102" s="450">
        <v>0</v>
      </c>
    </row>
    <row r="103" spans="11:20">
      <c r="K103" s="2646"/>
      <c r="L103" s="449" t="s">
        <v>1914</v>
      </c>
      <c r="M103" s="437">
        <v>29232925</v>
      </c>
      <c r="N103" s="437">
        <v>0.83</v>
      </c>
      <c r="O103" s="437">
        <v>1.8</v>
      </c>
      <c r="P103" s="437">
        <v>0.54531000000000007</v>
      </c>
      <c r="Q103" s="437">
        <v>0</v>
      </c>
      <c r="R103" s="437">
        <v>0</v>
      </c>
      <c r="S103" s="437">
        <v>0</v>
      </c>
      <c r="T103" s="450">
        <v>0</v>
      </c>
    </row>
    <row r="104" spans="11:20">
      <c r="K104" s="2646"/>
      <c r="L104" s="449" t="s">
        <v>1915</v>
      </c>
      <c r="M104" s="437">
        <v>203503</v>
      </c>
      <c r="N104" s="437">
        <v>0.82</v>
      </c>
      <c r="O104" s="437">
        <v>1.8</v>
      </c>
      <c r="P104" s="437">
        <v>0.53874</v>
      </c>
      <c r="Q104" s="437">
        <v>0</v>
      </c>
      <c r="R104" s="437" t="s">
        <v>1855</v>
      </c>
      <c r="S104" s="437">
        <v>0</v>
      </c>
      <c r="T104" s="450">
        <v>0</v>
      </c>
    </row>
    <row r="105" spans="11:20">
      <c r="K105" s="2646"/>
      <c r="L105" s="449" t="s">
        <v>1916</v>
      </c>
      <c r="M105" s="437">
        <v>6056101</v>
      </c>
      <c r="N105" s="437">
        <v>0.82</v>
      </c>
      <c r="O105" s="437">
        <v>1.8</v>
      </c>
      <c r="P105" s="437">
        <v>0.53874</v>
      </c>
      <c r="Q105" s="437">
        <v>0</v>
      </c>
      <c r="R105" s="437" t="s">
        <v>1855</v>
      </c>
      <c r="S105" s="437">
        <v>0</v>
      </c>
      <c r="T105" s="450">
        <v>0</v>
      </c>
    </row>
    <row r="106" spans="11:20">
      <c r="K106" s="2646"/>
      <c r="L106" s="449" t="s">
        <v>1917</v>
      </c>
      <c r="M106" s="437">
        <v>729</v>
      </c>
      <c r="N106" s="437" t="s">
        <v>1855</v>
      </c>
      <c r="O106" s="437" t="s">
        <v>1855</v>
      </c>
      <c r="P106" s="437" t="s">
        <v>1855</v>
      </c>
      <c r="Q106" s="437">
        <v>0</v>
      </c>
      <c r="R106" s="437" t="s">
        <v>1855</v>
      </c>
      <c r="S106" s="437">
        <v>0</v>
      </c>
      <c r="T106" s="450">
        <v>0</v>
      </c>
    </row>
    <row r="107" spans="11:20">
      <c r="K107" s="2646"/>
      <c r="L107" s="437" t="s">
        <v>1918</v>
      </c>
      <c r="M107" s="437">
        <v>26286</v>
      </c>
      <c r="N107" s="437" t="s">
        <v>1855</v>
      </c>
      <c r="O107" s="437" t="s">
        <v>1855</v>
      </c>
      <c r="P107" s="437" t="s">
        <v>1855</v>
      </c>
      <c r="Q107" s="437">
        <v>0</v>
      </c>
      <c r="R107" s="437" t="s">
        <v>1855</v>
      </c>
      <c r="S107" s="437">
        <v>0</v>
      </c>
      <c r="T107" s="450">
        <v>0</v>
      </c>
    </row>
    <row r="108" spans="11:20">
      <c r="K108" s="2647"/>
      <c r="L108" s="474" t="s">
        <v>1946</v>
      </c>
      <c r="M108" s="474" t="s">
        <v>1855</v>
      </c>
      <c r="N108" s="474" t="s">
        <v>1855</v>
      </c>
      <c r="O108" s="474" t="s">
        <v>1855</v>
      </c>
      <c r="P108" s="474" t="s">
        <v>1855</v>
      </c>
      <c r="Q108" s="474">
        <v>0</v>
      </c>
      <c r="R108" s="474" t="s">
        <v>1855</v>
      </c>
      <c r="S108" s="474">
        <v>0</v>
      </c>
      <c r="T108" s="831">
        <v>0</v>
      </c>
    </row>
    <row r="109" spans="11:20">
      <c r="K109" s="2645" t="s">
        <v>1922</v>
      </c>
      <c r="L109" s="827" t="s">
        <v>1902</v>
      </c>
      <c r="M109" s="827">
        <v>529572</v>
      </c>
      <c r="N109" s="827">
        <v>0.47</v>
      </c>
      <c r="O109" s="827">
        <v>350</v>
      </c>
      <c r="P109" s="827">
        <v>60.042500000000004</v>
      </c>
      <c r="Q109" s="827">
        <v>0</v>
      </c>
      <c r="R109" s="827">
        <v>0</v>
      </c>
      <c r="S109" s="827">
        <v>0.02</v>
      </c>
      <c r="T109" s="828">
        <v>0</v>
      </c>
    </row>
    <row r="110" spans="11:20">
      <c r="K110" s="2646"/>
      <c r="L110" s="437" t="s">
        <v>1903</v>
      </c>
      <c r="M110" s="437">
        <v>998150</v>
      </c>
      <c r="N110" s="437">
        <v>0.34</v>
      </c>
      <c r="O110" s="437">
        <v>319</v>
      </c>
      <c r="P110" s="437">
        <v>39.587900000000005</v>
      </c>
      <c r="Q110" s="437">
        <v>0.46</v>
      </c>
      <c r="R110" s="437">
        <v>18176744.697100002</v>
      </c>
      <c r="S110" s="437">
        <v>0.02</v>
      </c>
      <c r="T110" s="450">
        <v>571269.11905171431</v>
      </c>
    </row>
    <row r="111" spans="11:20">
      <c r="K111" s="2646"/>
      <c r="L111" s="437" t="s">
        <v>1904</v>
      </c>
      <c r="M111" s="437">
        <v>1190886</v>
      </c>
      <c r="N111" s="437">
        <v>0.32</v>
      </c>
      <c r="O111" s="437">
        <v>380</v>
      </c>
      <c r="P111" s="437">
        <v>44.384000000000007</v>
      </c>
      <c r="Q111" s="437">
        <v>0.41</v>
      </c>
      <c r="R111" s="437">
        <v>21671076.53184</v>
      </c>
      <c r="S111" s="437">
        <v>0.02</v>
      </c>
      <c r="T111" s="450">
        <v>681090.97671497136</v>
      </c>
    </row>
    <row r="112" spans="11:20">
      <c r="K112" s="2646"/>
      <c r="L112" s="437" t="s">
        <v>1909</v>
      </c>
      <c r="M112" s="437">
        <v>8347017</v>
      </c>
      <c r="N112" s="437">
        <v>0.5</v>
      </c>
      <c r="O112" s="437">
        <v>28</v>
      </c>
      <c r="P112" s="437">
        <v>5.1100000000000003</v>
      </c>
      <c r="Q112" s="437">
        <v>0.54</v>
      </c>
      <c r="R112" s="437">
        <v>23032758.709800005</v>
      </c>
      <c r="S112" s="437">
        <v>0.02</v>
      </c>
      <c r="T112" s="450">
        <v>723886.70230800018</v>
      </c>
    </row>
    <row r="113" spans="11:20">
      <c r="K113" s="2646"/>
      <c r="L113" s="437" t="s">
        <v>1905</v>
      </c>
      <c r="M113" s="437">
        <v>43139</v>
      </c>
      <c r="N113" s="437">
        <v>1.17</v>
      </c>
      <c r="O113" s="437">
        <v>28</v>
      </c>
      <c r="P113" s="437">
        <v>11.9574</v>
      </c>
      <c r="Q113" s="437">
        <v>0</v>
      </c>
      <c r="R113" s="437">
        <v>0</v>
      </c>
      <c r="S113" s="437">
        <v>0.02</v>
      </c>
      <c r="T113" s="450">
        <v>0</v>
      </c>
    </row>
    <row r="114" spans="11:20">
      <c r="K114" s="2646"/>
      <c r="L114" s="437" t="s">
        <v>1906</v>
      </c>
      <c r="M114" s="437">
        <v>380277</v>
      </c>
      <c r="N114" s="437">
        <v>1.37</v>
      </c>
      <c r="O114" s="437">
        <v>30</v>
      </c>
      <c r="P114" s="437">
        <v>15.001500000000002</v>
      </c>
      <c r="Q114" s="437">
        <v>0</v>
      </c>
      <c r="R114" s="437">
        <v>0</v>
      </c>
      <c r="S114" s="437">
        <v>0.02</v>
      </c>
      <c r="T114" s="450">
        <v>0</v>
      </c>
    </row>
    <row r="115" spans="11:20">
      <c r="K115" s="2646"/>
      <c r="L115" s="437" t="s">
        <v>1907</v>
      </c>
      <c r="M115" s="437">
        <v>206</v>
      </c>
      <c r="N115" s="437">
        <v>0.46</v>
      </c>
      <c r="O115" s="437">
        <v>217</v>
      </c>
      <c r="P115" s="437">
        <v>36.4343</v>
      </c>
      <c r="Q115" s="437">
        <v>0</v>
      </c>
      <c r="R115" s="437" t="s">
        <v>1855</v>
      </c>
      <c r="S115" s="437">
        <v>0.02</v>
      </c>
      <c r="T115" s="450">
        <v>0</v>
      </c>
    </row>
    <row r="116" spans="11:20">
      <c r="K116" s="2646"/>
      <c r="L116" s="437" t="s">
        <v>1908</v>
      </c>
      <c r="M116" s="437">
        <v>1559</v>
      </c>
      <c r="N116" s="437">
        <v>0.46</v>
      </c>
      <c r="O116" s="437">
        <v>238</v>
      </c>
      <c r="P116" s="437">
        <v>39.9602</v>
      </c>
      <c r="Q116" s="437">
        <v>0</v>
      </c>
      <c r="R116" s="437">
        <v>0</v>
      </c>
      <c r="S116" s="437">
        <v>0.02</v>
      </c>
      <c r="T116" s="450">
        <v>0</v>
      </c>
    </row>
    <row r="117" spans="11:20">
      <c r="K117" s="2646"/>
      <c r="L117" s="437" t="s">
        <v>1910</v>
      </c>
      <c r="M117" s="437">
        <v>6684</v>
      </c>
      <c r="N117" s="437" t="s">
        <v>1855</v>
      </c>
      <c r="O117" s="437" t="s">
        <v>1855</v>
      </c>
      <c r="P117" s="437" t="s">
        <v>1855</v>
      </c>
      <c r="Q117" s="437">
        <v>0</v>
      </c>
      <c r="R117" s="437" t="s">
        <v>1855</v>
      </c>
      <c r="S117" s="437">
        <v>0.02</v>
      </c>
      <c r="T117" s="450">
        <v>0</v>
      </c>
    </row>
    <row r="118" spans="11:20">
      <c r="K118" s="2646"/>
      <c r="L118" s="437" t="s">
        <v>1911</v>
      </c>
      <c r="M118" s="437">
        <v>1576</v>
      </c>
      <c r="N118" s="437" t="s">
        <v>1855</v>
      </c>
      <c r="O118" s="437" t="s">
        <v>1855</v>
      </c>
      <c r="P118" s="437" t="s">
        <v>1855</v>
      </c>
      <c r="Q118" s="437">
        <v>0</v>
      </c>
      <c r="R118" s="437" t="s">
        <v>1855</v>
      </c>
      <c r="S118" s="437">
        <v>0.02</v>
      </c>
      <c r="T118" s="450">
        <v>0</v>
      </c>
    </row>
    <row r="119" spans="11:20">
      <c r="K119" s="2646"/>
      <c r="L119" s="437" t="s">
        <v>1912</v>
      </c>
      <c r="M119" s="437" t="s">
        <v>1855</v>
      </c>
      <c r="N119" s="437">
        <v>0.82</v>
      </c>
      <c r="O119" s="437">
        <v>1.8</v>
      </c>
      <c r="P119" s="437">
        <v>0.53874</v>
      </c>
      <c r="Q119" s="437">
        <v>0</v>
      </c>
      <c r="R119" s="437" t="s">
        <v>1855</v>
      </c>
      <c r="S119" s="437">
        <v>0.02</v>
      </c>
      <c r="T119" s="450" t="s">
        <v>1855</v>
      </c>
    </row>
    <row r="120" spans="11:20">
      <c r="K120" s="2646"/>
      <c r="L120" s="449" t="s">
        <v>1913</v>
      </c>
      <c r="M120" s="437">
        <v>266034477</v>
      </c>
      <c r="N120" s="437">
        <v>0.82</v>
      </c>
      <c r="O120" s="437">
        <v>1.8</v>
      </c>
      <c r="P120" s="437">
        <v>0.53874</v>
      </c>
      <c r="Q120" s="437">
        <v>0</v>
      </c>
      <c r="R120" s="437">
        <v>0</v>
      </c>
      <c r="S120" s="437">
        <v>0.02</v>
      </c>
      <c r="T120" s="450">
        <v>0</v>
      </c>
    </row>
    <row r="121" spans="11:20">
      <c r="K121" s="2646"/>
      <c r="L121" s="449" t="s">
        <v>1914</v>
      </c>
      <c r="M121" s="437">
        <v>29232925</v>
      </c>
      <c r="N121" s="437">
        <v>0.83</v>
      </c>
      <c r="O121" s="437">
        <v>1.8</v>
      </c>
      <c r="P121" s="437">
        <v>0.54531000000000007</v>
      </c>
      <c r="Q121" s="437">
        <v>0</v>
      </c>
      <c r="R121" s="437">
        <v>0</v>
      </c>
      <c r="S121" s="437">
        <v>0.02</v>
      </c>
      <c r="T121" s="450">
        <v>0</v>
      </c>
    </row>
    <row r="122" spans="11:20">
      <c r="K122" s="2646"/>
      <c r="L122" s="449" t="s">
        <v>1915</v>
      </c>
      <c r="M122" s="437">
        <v>203503</v>
      </c>
      <c r="N122" s="437">
        <v>0.82</v>
      </c>
      <c r="O122" s="437">
        <v>1.8</v>
      </c>
      <c r="P122" s="437">
        <v>0.53874</v>
      </c>
      <c r="Q122" s="437">
        <v>0</v>
      </c>
      <c r="R122" s="437" t="s">
        <v>1855</v>
      </c>
      <c r="S122" s="437">
        <v>0.02</v>
      </c>
      <c r="T122" s="450">
        <v>0</v>
      </c>
    </row>
    <row r="123" spans="11:20">
      <c r="K123" s="2646"/>
      <c r="L123" s="449" t="s">
        <v>1916</v>
      </c>
      <c r="M123" s="437">
        <v>6056101</v>
      </c>
      <c r="N123" s="437">
        <v>0.82</v>
      </c>
      <c r="O123" s="437">
        <v>1.8</v>
      </c>
      <c r="P123" s="437">
        <v>0.53874</v>
      </c>
      <c r="Q123" s="437">
        <v>0</v>
      </c>
      <c r="R123" s="437" t="s">
        <v>1855</v>
      </c>
      <c r="S123" s="437">
        <v>0.02</v>
      </c>
      <c r="T123" s="450">
        <v>0</v>
      </c>
    </row>
    <row r="124" spans="11:20">
      <c r="K124" s="2646"/>
      <c r="L124" s="449" t="s">
        <v>1917</v>
      </c>
      <c r="M124" s="437">
        <v>729</v>
      </c>
      <c r="N124" s="437" t="s">
        <v>1855</v>
      </c>
      <c r="O124" s="437" t="s">
        <v>1855</v>
      </c>
      <c r="P124" s="437" t="s">
        <v>1855</v>
      </c>
      <c r="Q124" s="437">
        <v>0</v>
      </c>
      <c r="R124" s="437" t="s">
        <v>1855</v>
      </c>
      <c r="S124" s="437">
        <v>0.02</v>
      </c>
      <c r="T124" s="450">
        <v>0</v>
      </c>
    </row>
    <row r="125" spans="11:20">
      <c r="K125" s="2646"/>
      <c r="L125" s="437" t="s">
        <v>1918</v>
      </c>
      <c r="M125" s="437">
        <v>26286</v>
      </c>
      <c r="N125" s="437" t="s">
        <v>1855</v>
      </c>
      <c r="O125" s="437" t="s">
        <v>1855</v>
      </c>
      <c r="P125" s="437" t="s">
        <v>1855</v>
      </c>
      <c r="Q125" s="437">
        <v>0</v>
      </c>
      <c r="R125" s="437" t="s">
        <v>1855</v>
      </c>
      <c r="S125" s="437">
        <v>0.02</v>
      </c>
      <c r="T125" s="450">
        <v>0</v>
      </c>
    </row>
    <row r="126" spans="11:20">
      <c r="K126" s="2647"/>
      <c r="L126" s="474" t="s">
        <v>1946</v>
      </c>
      <c r="M126" s="474" t="s">
        <v>1855</v>
      </c>
      <c r="N126" s="474" t="s">
        <v>1855</v>
      </c>
      <c r="O126" s="474" t="s">
        <v>1855</v>
      </c>
      <c r="P126" s="474" t="s">
        <v>1855</v>
      </c>
      <c r="Q126" s="474">
        <v>0</v>
      </c>
      <c r="R126" s="474" t="s">
        <v>1855</v>
      </c>
      <c r="S126" s="474">
        <v>0</v>
      </c>
      <c r="T126" s="831">
        <v>0</v>
      </c>
    </row>
    <row r="127" spans="11:20">
      <c r="K127" s="2649" t="s">
        <v>1923</v>
      </c>
      <c r="L127" s="827" t="s">
        <v>1902</v>
      </c>
      <c r="M127" s="827">
        <v>529572</v>
      </c>
      <c r="N127" s="827">
        <v>0.47</v>
      </c>
      <c r="O127" s="827">
        <v>350</v>
      </c>
      <c r="P127" s="827">
        <v>60.042500000000004</v>
      </c>
      <c r="Q127" s="827">
        <v>0.2</v>
      </c>
      <c r="R127" s="827">
        <v>6359365.3620000007</v>
      </c>
      <c r="S127" s="827">
        <v>0.02</v>
      </c>
      <c r="T127" s="828">
        <v>199865.76852000001</v>
      </c>
    </row>
    <row r="128" spans="11:20">
      <c r="K128" s="2650"/>
      <c r="L128" s="437" t="s">
        <v>1903</v>
      </c>
      <c r="M128" s="437">
        <v>998150</v>
      </c>
      <c r="N128" s="437">
        <v>0.34</v>
      </c>
      <c r="O128" s="437">
        <v>319</v>
      </c>
      <c r="P128" s="437">
        <v>39.587900000000005</v>
      </c>
      <c r="Q128" s="437">
        <v>0.5</v>
      </c>
      <c r="R128" s="437">
        <v>19757331.192500003</v>
      </c>
      <c r="S128" s="437">
        <v>0.02</v>
      </c>
      <c r="T128" s="450">
        <v>620944.69462142873</v>
      </c>
    </row>
    <row r="129" spans="11:20">
      <c r="K129" s="2650"/>
      <c r="L129" s="437" t="s">
        <v>1904</v>
      </c>
      <c r="M129" s="437">
        <v>1190886</v>
      </c>
      <c r="N129" s="437">
        <v>0.32</v>
      </c>
      <c r="O129" s="437">
        <v>380</v>
      </c>
      <c r="P129" s="437">
        <v>44.384000000000007</v>
      </c>
      <c r="Q129" s="437">
        <v>0.5</v>
      </c>
      <c r="R129" s="437">
        <v>26428142.112000003</v>
      </c>
      <c r="S129" s="437">
        <v>0.02</v>
      </c>
      <c r="T129" s="450">
        <v>830598.75209142861</v>
      </c>
    </row>
    <row r="130" spans="11:20">
      <c r="K130" s="2650"/>
      <c r="L130" s="437" t="s">
        <v>1909</v>
      </c>
      <c r="M130" s="437">
        <v>8347017</v>
      </c>
      <c r="N130" s="437">
        <v>0.5</v>
      </c>
      <c r="O130" s="437">
        <v>28</v>
      </c>
      <c r="P130" s="437">
        <v>5.1100000000000003</v>
      </c>
      <c r="Q130" s="437">
        <v>0</v>
      </c>
      <c r="R130" s="437">
        <v>0</v>
      </c>
      <c r="S130" s="437">
        <v>0.02</v>
      </c>
      <c r="T130" s="450">
        <v>0</v>
      </c>
    </row>
    <row r="131" spans="11:20">
      <c r="K131" s="2650"/>
      <c r="L131" s="437" t="s">
        <v>1905</v>
      </c>
      <c r="M131" s="437">
        <v>43139</v>
      </c>
      <c r="N131" s="437">
        <v>1.17</v>
      </c>
      <c r="O131" s="437">
        <v>28</v>
      </c>
      <c r="P131" s="437">
        <v>11.9574</v>
      </c>
      <c r="Q131" s="437">
        <v>0</v>
      </c>
      <c r="R131" s="437">
        <v>0</v>
      </c>
      <c r="S131" s="437">
        <v>0.02</v>
      </c>
      <c r="T131" s="450">
        <v>0</v>
      </c>
    </row>
    <row r="132" spans="11:20">
      <c r="K132" s="2650"/>
      <c r="L132" s="437" t="s">
        <v>1906</v>
      </c>
      <c r="M132" s="437">
        <v>380277</v>
      </c>
      <c r="N132" s="437">
        <v>1.37</v>
      </c>
      <c r="O132" s="437">
        <v>30</v>
      </c>
      <c r="P132" s="437">
        <v>15.001500000000002</v>
      </c>
      <c r="Q132" s="437">
        <v>0</v>
      </c>
      <c r="R132" s="437">
        <v>0</v>
      </c>
      <c r="S132" s="437">
        <v>0.02</v>
      </c>
      <c r="T132" s="450">
        <v>0</v>
      </c>
    </row>
    <row r="133" spans="11:20">
      <c r="K133" s="2650"/>
      <c r="L133" s="437" t="s">
        <v>1907</v>
      </c>
      <c r="M133" s="437">
        <v>206</v>
      </c>
      <c r="N133" s="437">
        <v>0.46</v>
      </c>
      <c r="O133" s="437">
        <v>217</v>
      </c>
      <c r="P133" s="437">
        <v>36.4343</v>
      </c>
      <c r="Q133" s="437">
        <v>0</v>
      </c>
      <c r="R133" s="437" t="s">
        <v>1855</v>
      </c>
      <c r="S133" s="437">
        <v>0.02</v>
      </c>
      <c r="T133" s="450">
        <v>0</v>
      </c>
    </row>
    <row r="134" spans="11:20">
      <c r="K134" s="2650"/>
      <c r="L134" s="437" t="s">
        <v>1908</v>
      </c>
      <c r="M134" s="437">
        <v>1559</v>
      </c>
      <c r="N134" s="437">
        <v>0.46</v>
      </c>
      <c r="O134" s="437">
        <v>238</v>
      </c>
      <c r="P134" s="437">
        <v>39.9602</v>
      </c>
      <c r="Q134" s="437">
        <v>0</v>
      </c>
      <c r="R134" s="437">
        <v>0</v>
      </c>
      <c r="S134" s="437">
        <v>0.02</v>
      </c>
      <c r="T134" s="450">
        <v>0</v>
      </c>
    </row>
    <row r="135" spans="11:20">
      <c r="K135" s="2650"/>
      <c r="L135" s="437" t="s">
        <v>1910</v>
      </c>
      <c r="M135" s="437">
        <v>6684</v>
      </c>
      <c r="N135" s="437" t="s">
        <v>1855</v>
      </c>
      <c r="O135" s="437" t="s">
        <v>1855</v>
      </c>
      <c r="P135" s="437" t="s">
        <v>1855</v>
      </c>
      <c r="Q135" s="437">
        <v>0</v>
      </c>
      <c r="R135" s="437" t="s">
        <v>1855</v>
      </c>
      <c r="S135" s="437">
        <v>0.02</v>
      </c>
      <c r="T135" s="450">
        <v>0</v>
      </c>
    </row>
    <row r="136" spans="11:20">
      <c r="K136" s="2650"/>
      <c r="L136" s="437" t="s">
        <v>1911</v>
      </c>
      <c r="M136" s="437">
        <v>1576</v>
      </c>
      <c r="N136" s="437" t="s">
        <v>1855</v>
      </c>
      <c r="O136" s="437" t="s">
        <v>1855</v>
      </c>
      <c r="P136" s="437" t="s">
        <v>1855</v>
      </c>
      <c r="Q136" s="437">
        <v>0</v>
      </c>
      <c r="R136" s="437" t="s">
        <v>1855</v>
      </c>
      <c r="S136" s="437">
        <v>0.02</v>
      </c>
      <c r="T136" s="450">
        <v>0</v>
      </c>
    </row>
    <row r="137" spans="11:20">
      <c r="K137" s="2650"/>
      <c r="L137" s="437" t="s">
        <v>1912</v>
      </c>
      <c r="M137" s="437" t="s">
        <v>1855</v>
      </c>
      <c r="N137" s="437">
        <v>0.82</v>
      </c>
      <c r="O137" s="437">
        <v>1.8</v>
      </c>
      <c r="P137" s="437">
        <v>0.53874</v>
      </c>
      <c r="Q137" s="437">
        <v>0.44</v>
      </c>
      <c r="R137" s="437" t="s">
        <v>1855</v>
      </c>
      <c r="S137" s="437">
        <v>0.02</v>
      </c>
      <c r="T137" s="450" t="s">
        <v>1855</v>
      </c>
    </row>
    <row r="138" spans="11:20">
      <c r="K138" s="2650"/>
      <c r="L138" s="449" t="s">
        <v>1913</v>
      </c>
      <c r="M138" s="437">
        <v>266034477</v>
      </c>
      <c r="N138" s="437">
        <v>0.82</v>
      </c>
      <c r="O138" s="437">
        <v>1.8</v>
      </c>
      <c r="P138" s="437">
        <v>0.53874</v>
      </c>
      <c r="Q138" s="437">
        <v>0.44</v>
      </c>
      <c r="R138" s="437">
        <v>63062302.221151203</v>
      </c>
      <c r="S138" s="437">
        <v>0.02</v>
      </c>
      <c r="T138" s="450">
        <v>1981958.0698076093</v>
      </c>
    </row>
    <row r="139" spans="11:20">
      <c r="K139" s="2650"/>
      <c r="L139" s="449" t="s">
        <v>1914</v>
      </c>
      <c r="M139" s="437">
        <v>29232925</v>
      </c>
      <c r="N139" s="437">
        <v>0.83</v>
      </c>
      <c r="O139" s="437">
        <v>1.8</v>
      </c>
      <c r="P139" s="437">
        <v>0.54531000000000007</v>
      </c>
      <c r="Q139" s="437">
        <v>0.44</v>
      </c>
      <c r="R139" s="437">
        <v>7014042.7859700006</v>
      </c>
      <c r="S139" s="437">
        <v>0.02</v>
      </c>
      <c r="T139" s="450">
        <v>220441.34470191432</v>
      </c>
    </row>
    <row r="140" spans="11:20">
      <c r="K140" s="2650"/>
      <c r="L140" s="449" t="s">
        <v>1915</v>
      </c>
      <c r="M140" s="437">
        <v>203503</v>
      </c>
      <c r="N140" s="437">
        <v>0.82</v>
      </c>
      <c r="O140" s="437">
        <v>1.8</v>
      </c>
      <c r="P140" s="437">
        <v>0.53874</v>
      </c>
      <c r="Q140" s="437">
        <v>0</v>
      </c>
      <c r="R140" s="437" t="s">
        <v>1855</v>
      </c>
      <c r="S140" s="437">
        <v>0.02</v>
      </c>
      <c r="T140" s="450" t="s">
        <v>1855</v>
      </c>
    </row>
    <row r="141" spans="11:20">
      <c r="K141" s="2650"/>
      <c r="L141" s="449" t="s">
        <v>1916</v>
      </c>
      <c r="M141" s="437">
        <v>6056101</v>
      </c>
      <c r="N141" s="437">
        <v>0.82</v>
      </c>
      <c r="O141" s="437">
        <v>1.8</v>
      </c>
      <c r="P141" s="437">
        <v>0.53874</v>
      </c>
      <c r="Q141" s="437">
        <v>0</v>
      </c>
      <c r="R141" s="437" t="s">
        <v>1855</v>
      </c>
      <c r="S141" s="437">
        <v>0.02</v>
      </c>
      <c r="T141" s="450">
        <v>0</v>
      </c>
    </row>
    <row r="142" spans="11:20">
      <c r="K142" s="2650"/>
      <c r="L142" s="449" t="s">
        <v>1917</v>
      </c>
      <c r="M142" s="437">
        <v>729</v>
      </c>
      <c r="N142" s="437" t="s">
        <v>1855</v>
      </c>
      <c r="O142" s="437" t="s">
        <v>1855</v>
      </c>
      <c r="P142" s="437" t="s">
        <v>1855</v>
      </c>
      <c r="Q142" s="437">
        <v>0</v>
      </c>
      <c r="R142" s="437" t="s">
        <v>1855</v>
      </c>
      <c r="S142" s="437">
        <v>0.02</v>
      </c>
      <c r="T142" s="450">
        <v>0</v>
      </c>
    </row>
    <row r="143" spans="11:20">
      <c r="K143" s="2650"/>
      <c r="L143" s="437" t="s">
        <v>1918</v>
      </c>
      <c r="M143" s="437">
        <v>26286</v>
      </c>
      <c r="N143" s="437" t="s">
        <v>1855</v>
      </c>
      <c r="O143" s="437" t="s">
        <v>1855</v>
      </c>
      <c r="P143" s="437" t="s">
        <v>1855</v>
      </c>
      <c r="Q143" s="437">
        <v>0</v>
      </c>
      <c r="R143" s="437" t="s">
        <v>1855</v>
      </c>
      <c r="S143" s="437">
        <v>0.02</v>
      </c>
      <c r="T143" s="450">
        <v>0</v>
      </c>
    </row>
    <row r="144" spans="11:20">
      <c r="K144" s="2651"/>
      <c r="L144" s="474" t="s">
        <v>1946</v>
      </c>
      <c r="M144" s="474" t="s">
        <v>1855</v>
      </c>
      <c r="N144" s="474" t="s">
        <v>1855</v>
      </c>
      <c r="O144" s="474" t="s">
        <v>1855</v>
      </c>
      <c r="P144" s="474" t="s">
        <v>1855</v>
      </c>
      <c r="Q144" s="474">
        <v>0</v>
      </c>
      <c r="R144" s="474" t="s">
        <v>1855</v>
      </c>
      <c r="S144" s="474">
        <v>0</v>
      </c>
      <c r="T144" s="831">
        <v>0</v>
      </c>
    </row>
    <row r="145" spans="11:20">
      <c r="K145" s="2645" t="s">
        <v>1924</v>
      </c>
      <c r="L145" s="827" t="s">
        <v>1902</v>
      </c>
      <c r="M145" s="827">
        <v>529572</v>
      </c>
      <c r="N145" s="827">
        <v>0.47</v>
      </c>
      <c r="O145" s="827">
        <v>350</v>
      </c>
      <c r="P145" s="827">
        <v>60.042500000000004</v>
      </c>
      <c r="Q145" s="827">
        <v>7.0000000000000007E-2</v>
      </c>
      <c r="R145" s="827">
        <v>2225777.8767000004</v>
      </c>
      <c r="S145" s="827">
        <v>0</v>
      </c>
      <c r="T145" s="828">
        <v>0</v>
      </c>
    </row>
    <row r="146" spans="11:20">
      <c r="K146" s="2646"/>
      <c r="L146" s="437" t="s">
        <v>1903</v>
      </c>
      <c r="M146" s="437">
        <v>998150</v>
      </c>
      <c r="N146" s="437">
        <v>0.34</v>
      </c>
      <c r="O146" s="437">
        <v>319</v>
      </c>
      <c r="P146" s="437">
        <v>39.587900000000005</v>
      </c>
      <c r="Q146" s="437">
        <v>0.02</v>
      </c>
      <c r="R146" s="437">
        <v>790293.24770000018</v>
      </c>
      <c r="S146" s="437">
        <v>0</v>
      </c>
      <c r="T146" s="450">
        <v>0</v>
      </c>
    </row>
    <row r="147" spans="11:20">
      <c r="K147" s="2646"/>
      <c r="L147" s="437" t="s">
        <v>1904</v>
      </c>
      <c r="M147" s="437">
        <v>1190886</v>
      </c>
      <c r="N147" s="437">
        <v>0.32</v>
      </c>
      <c r="O147" s="437">
        <v>380</v>
      </c>
      <c r="P147" s="437">
        <v>44.384000000000007</v>
      </c>
      <c r="Q147" s="437">
        <v>0.05</v>
      </c>
      <c r="R147" s="437">
        <v>2642814.2112000007</v>
      </c>
      <c r="S147" s="437">
        <v>0</v>
      </c>
      <c r="T147" s="450">
        <v>0</v>
      </c>
    </row>
    <row r="148" spans="11:20">
      <c r="K148" s="2646"/>
      <c r="L148" s="437" t="s">
        <v>1909</v>
      </c>
      <c r="M148" s="437">
        <v>8347017</v>
      </c>
      <c r="N148" s="437">
        <v>0.5</v>
      </c>
      <c r="O148" s="437">
        <v>28</v>
      </c>
      <c r="P148" s="437">
        <v>5.1100000000000003</v>
      </c>
      <c r="Q148" s="437">
        <v>0</v>
      </c>
      <c r="R148" s="437">
        <v>0</v>
      </c>
      <c r="S148" s="437">
        <v>0</v>
      </c>
      <c r="T148" s="450">
        <v>0</v>
      </c>
    </row>
    <row r="149" spans="11:20">
      <c r="K149" s="2646"/>
      <c r="L149" s="437" t="s">
        <v>1905</v>
      </c>
      <c r="M149" s="437">
        <v>43139</v>
      </c>
      <c r="N149" s="437">
        <v>1.17</v>
      </c>
      <c r="O149" s="437">
        <v>28</v>
      </c>
      <c r="P149" s="437">
        <v>11.9574</v>
      </c>
      <c r="Q149" s="437">
        <v>0</v>
      </c>
      <c r="R149" s="437">
        <v>0</v>
      </c>
      <c r="S149" s="437">
        <v>0</v>
      </c>
      <c r="T149" s="450">
        <v>0</v>
      </c>
    </row>
    <row r="150" spans="11:20">
      <c r="K150" s="2646"/>
      <c r="L150" s="437" t="s">
        <v>1906</v>
      </c>
      <c r="M150" s="437">
        <v>380277</v>
      </c>
      <c r="N150" s="437">
        <v>1.37</v>
      </c>
      <c r="O150" s="437">
        <v>30</v>
      </c>
      <c r="P150" s="437">
        <v>15.001500000000002</v>
      </c>
      <c r="Q150" s="437">
        <v>0</v>
      </c>
      <c r="R150" s="437">
        <v>0</v>
      </c>
      <c r="S150" s="437">
        <v>0</v>
      </c>
      <c r="T150" s="450">
        <v>0</v>
      </c>
    </row>
    <row r="151" spans="11:20">
      <c r="K151" s="2646"/>
      <c r="L151" s="437" t="s">
        <v>1907</v>
      </c>
      <c r="M151" s="437">
        <v>206</v>
      </c>
      <c r="N151" s="437">
        <v>0.46</v>
      </c>
      <c r="O151" s="437">
        <v>217</v>
      </c>
      <c r="P151" s="437">
        <v>36.4343</v>
      </c>
      <c r="Q151" s="437">
        <v>0</v>
      </c>
      <c r="R151" s="437" t="s">
        <v>1855</v>
      </c>
      <c r="S151" s="437">
        <v>0</v>
      </c>
      <c r="T151" s="450" t="s">
        <v>1855</v>
      </c>
    </row>
    <row r="152" spans="11:20">
      <c r="K152" s="2646"/>
      <c r="L152" s="437" t="s">
        <v>1908</v>
      </c>
      <c r="M152" s="437">
        <v>1559</v>
      </c>
      <c r="N152" s="437">
        <v>0.46</v>
      </c>
      <c r="O152" s="437">
        <v>238</v>
      </c>
      <c r="P152" s="437">
        <v>39.9602</v>
      </c>
      <c r="Q152" s="437">
        <v>0</v>
      </c>
      <c r="R152" s="437">
        <v>0</v>
      </c>
      <c r="S152" s="437">
        <v>0</v>
      </c>
      <c r="T152" s="450">
        <v>0</v>
      </c>
    </row>
    <row r="153" spans="11:20">
      <c r="K153" s="2646"/>
      <c r="L153" s="437" t="s">
        <v>1910</v>
      </c>
      <c r="M153" s="437">
        <v>6684</v>
      </c>
      <c r="N153" s="437" t="s">
        <v>1855</v>
      </c>
      <c r="O153" s="437" t="s">
        <v>1855</v>
      </c>
      <c r="P153" s="437" t="s">
        <v>1855</v>
      </c>
      <c r="Q153" s="437">
        <v>0</v>
      </c>
      <c r="R153" s="437" t="s">
        <v>1855</v>
      </c>
      <c r="S153" s="437">
        <v>0</v>
      </c>
      <c r="T153" s="450" t="s">
        <v>1855</v>
      </c>
    </row>
    <row r="154" spans="11:20">
      <c r="K154" s="2646"/>
      <c r="L154" s="437" t="s">
        <v>1911</v>
      </c>
      <c r="M154" s="437">
        <v>1576</v>
      </c>
      <c r="N154" s="437" t="s">
        <v>1855</v>
      </c>
      <c r="O154" s="437" t="s">
        <v>1855</v>
      </c>
      <c r="P154" s="437" t="s">
        <v>1855</v>
      </c>
      <c r="Q154" s="437">
        <v>0</v>
      </c>
      <c r="R154" s="437" t="s">
        <v>1855</v>
      </c>
      <c r="S154" s="437">
        <v>0</v>
      </c>
      <c r="T154" s="450" t="s">
        <v>1855</v>
      </c>
    </row>
    <row r="155" spans="11:20">
      <c r="K155" s="2646"/>
      <c r="L155" s="437" t="s">
        <v>1912</v>
      </c>
      <c r="M155" s="437" t="s">
        <v>1855</v>
      </c>
      <c r="N155" s="437">
        <v>0.82</v>
      </c>
      <c r="O155" s="437">
        <v>1.8</v>
      </c>
      <c r="P155" s="437">
        <v>0.53874</v>
      </c>
      <c r="Q155" s="437">
        <v>0</v>
      </c>
      <c r="R155" s="437" t="s">
        <v>1855</v>
      </c>
      <c r="S155" s="437">
        <v>0</v>
      </c>
      <c r="T155" s="450" t="s">
        <v>1855</v>
      </c>
    </row>
    <row r="156" spans="11:20">
      <c r="K156" s="2646"/>
      <c r="L156" s="449" t="s">
        <v>1913</v>
      </c>
      <c r="M156" s="437">
        <v>266034477</v>
      </c>
      <c r="N156" s="437">
        <v>0.82</v>
      </c>
      <c r="O156" s="437">
        <v>1.8</v>
      </c>
      <c r="P156" s="437">
        <v>0.53874</v>
      </c>
      <c r="Q156" s="437">
        <v>0</v>
      </c>
      <c r="R156" s="437">
        <v>0</v>
      </c>
      <c r="S156" s="437">
        <v>0</v>
      </c>
      <c r="T156" s="450">
        <v>0</v>
      </c>
    </row>
    <row r="157" spans="11:20">
      <c r="K157" s="2646"/>
      <c r="L157" s="449" t="s">
        <v>1914</v>
      </c>
      <c r="M157" s="437">
        <v>29232925</v>
      </c>
      <c r="N157" s="437">
        <v>0.83</v>
      </c>
      <c r="O157" s="437">
        <v>1.8</v>
      </c>
      <c r="P157" s="437">
        <v>0.54531000000000007</v>
      </c>
      <c r="Q157" s="437">
        <v>0</v>
      </c>
      <c r="R157" s="437">
        <v>0</v>
      </c>
      <c r="S157" s="437">
        <v>0</v>
      </c>
      <c r="T157" s="450">
        <v>0</v>
      </c>
    </row>
    <row r="158" spans="11:20">
      <c r="K158" s="2646"/>
      <c r="L158" s="449" t="s">
        <v>1915</v>
      </c>
      <c r="M158" s="437">
        <v>203503</v>
      </c>
      <c r="N158" s="437">
        <v>0.82</v>
      </c>
      <c r="O158" s="437">
        <v>1.8</v>
      </c>
      <c r="P158" s="437">
        <v>0.53874</v>
      </c>
      <c r="Q158" s="437">
        <v>0</v>
      </c>
      <c r="R158" s="437" t="s">
        <v>1855</v>
      </c>
      <c r="S158" s="437">
        <v>0</v>
      </c>
      <c r="T158" s="450" t="s">
        <v>1855</v>
      </c>
    </row>
    <row r="159" spans="11:20">
      <c r="K159" s="2646"/>
      <c r="L159" s="449" t="s">
        <v>1916</v>
      </c>
      <c r="M159" s="437">
        <v>6056101</v>
      </c>
      <c r="N159" s="437">
        <v>0.82</v>
      </c>
      <c r="O159" s="437">
        <v>1.8</v>
      </c>
      <c r="P159" s="437">
        <v>0.53874</v>
      </c>
      <c r="Q159" s="437">
        <v>0</v>
      </c>
      <c r="R159" s="437" t="s">
        <v>1855</v>
      </c>
      <c r="S159" s="437">
        <v>0</v>
      </c>
      <c r="T159" s="450" t="s">
        <v>1855</v>
      </c>
    </row>
    <row r="160" spans="11:20">
      <c r="K160" s="2646"/>
      <c r="L160" s="449" t="s">
        <v>1917</v>
      </c>
      <c r="M160" s="437">
        <v>729</v>
      </c>
      <c r="N160" s="437" t="s">
        <v>1855</v>
      </c>
      <c r="O160" s="437" t="s">
        <v>1855</v>
      </c>
      <c r="P160" s="437" t="s">
        <v>1855</v>
      </c>
      <c r="Q160" s="437">
        <v>0</v>
      </c>
      <c r="R160" s="437" t="s">
        <v>1855</v>
      </c>
      <c r="S160" s="437">
        <v>0</v>
      </c>
      <c r="T160" s="450" t="s">
        <v>1855</v>
      </c>
    </row>
    <row r="161" spans="11:20">
      <c r="K161" s="2646"/>
      <c r="L161" s="437" t="s">
        <v>1918</v>
      </c>
      <c r="M161" s="437">
        <v>26286</v>
      </c>
      <c r="N161" s="437" t="s">
        <v>1855</v>
      </c>
      <c r="O161" s="437" t="s">
        <v>1855</v>
      </c>
      <c r="P161" s="437" t="s">
        <v>1855</v>
      </c>
      <c r="Q161" s="437">
        <v>0</v>
      </c>
      <c r="R161" s="437" t="s">
        <v>1855</v>
      </c>
      <c r="S161" s="437">
        <v>0</v>
      </c>
      <c r="T161" s="450" t="s">
        <v>1855</v>
      </c>
    </row>
    <row r="162" spans="11:20">
      <c r="K162" s="2647"/>
      <c r="L162" s="474" t="s">
        <v>1946</v>
      </c>
      <c r="M162" s="474" t="s">
        <v>1855</v>
      </c>
      <c r="N162" s="474" t="s">
        <v>1855</v>
      </c>
      <c r="O162" s="474" t="s">
        <v>1855</v>
      </c>
      <c r="P162" s="474" t="s">
        <v>1855</v>
      </c>
      <c r="Q162" s="474">
        <v>0</v>
      </c>
      <c r="R162" s="474" t="s">
        <v>1855</v>
      </c>
      <c r="S162" s="474">
        <v>0</v>
      </c>
      <c r="T162" s="831" t="s">
        <v>1855</v>
      </c>
    </row>
  </sheetData>
  <mergeCells count="20">
    <mergeCell ref="K55:K72"/>
    <mergeCell ref="E29:F29"/>
    <mergeCell ref="K109:K126"/>
    <mergeCell ref="K127:K144"/>
    <mergeCell ref="K145:K162"/>
    <mergeCell ref="K73:K90"/>
    <mergeCell ref="K91:K108"/>
    <mergeCell ref="A4:A5"/>
    <mergeCell ref="A28:B30"/>
    <mergeCell ref="A23:D23"/>
    <mergeCell ref="AD28:AD30"/>
    <mergeCell ref="AE30:AP30"/>
    <mergeCell ref="AE28:AP28"/>
    <mergeCell ref="B4:C4"/>
    <mergeCell ref="D4:E4"/>
    <mergeCell ref="E28:F28"/>
    <mergeCell ref="R30:AC30"/>
    <mergeCell ref="R28:AC28"/>
    <mergeCell ref="G28:Q28"/>
    <mergeCell ref="G30:Q30"/>
  </mergeCells>
  <conditionalFormatting sqref="C31:E48 F38 L51:O51 K55:T162 C78:I94">
    <cfRule type="containsText" dxfId="1" priority="20" operator="containsText" text="n/a">
      <formula>NOT(ISERROR(SEARCH("n/a",C31)))</formula>
    </cfRule>
  </conditionalFormatting>
  <conditionalFormatting sqref="F36:F38 B6:D22 E9:E13 E15:E16 E21:E22 F40:F42 F47:F48">
    <cfRule type="containsText" dxfId="0" priority="21" operator="containsText" text="n/a">
      <formula>NOT(ISERROR(SEARCH("n/a",B6)))</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499984740745262"/>
  </sheetPr>
  <dimension ref="A1:AV47"/>
  <sheetViews>
    <sheetView zoomScale="55" zoomScaleNormal="55" workbookViewId="0">
      <selection activeCell="B6" sqref="B6"/>
    </sheetView>
  </sheetViews>
  <sheetFormatPr defaultColWidth="9.33203125" defaultRowHeight="13.2"/>
  <cols>
    <col min="1" max="1" width="27.33203125" customWidth="1"/>
    <col min="2" max="2" width="21.44140625" bestFit="1" customWidth="1"/>
    <col min="3" max="3" width="9.44140625" bestFit="1" customWidth="1"/>
    <col min="4" max="4" width="12.33203125" bestFit="1" customWidth="1"/>
    <col min="5" max="5" width="8.33203125" bestFit="1" customWidth="1"/>
    <col min="6" max="6" width="12.33203125" bestFit="1" customWidth="1"/>
    <col min="8" max="8" width="24" bestFit="1" customWidth="1"/>
    <col min="9" max="9" width="9" bestFit="1" customWidth="1"/>
    <col min="10" max="10" width="20" bestFit="1" customWidth="1"/>
    <col min="12" max="12" width="18" customWidth="1"/>
    <col min="16" max="16" width="17" bestFit="1" customWidth="1"/>
  </cols>
  <sheetData>
    <row r="1" spans="1:48" s="22" customFormat="1">
      <c r="A1" s="21" t="s">
        <v>484</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row>
    <row r="2" spans="1:48" s="23" customFormat="1">
      <c r="A2" s="23" t="s">
        <v>485</v>
      </c>
      <c r="AL2" s="24"/>
      <c r="AV2" s="24"/>
    </row>
    <row r="3" spans="1:48" s="3" customFormat="1"/>
    <row r="4" spans="1:48" ht="14.4">
      <c r="A4" s="2652" t="s">
        <v>486</v>
      </c>
      <c r="B4" s="2653"/>
      <c r="C4" s="892" t="s">
        <v>487</v>
      </c>
      <c r="D4" s="892" t="s">
        <v>488</v>
      </c>
      <c r="E4" s="892" t="s">
        <v>489</v>
      </c>
      <c r="F4" s="25" t="s">
        <v>490</v>
      </c>
      <c r="G4" s="3"/>
      <c r="H4" s="2654" t="s">
        <v>491</v>
      </c>
      <c r="I4" s="2655"/>
      <c r="J4" s="2656"/>
      <c r="L4" s="5"/>
      <c r="M4" s="5"/>
      <c r="N4" s="3"/>
      <c r="O4" s="5"/>
    </row>
    <row r="5" spans="1:48" ht="13.8">
      <c r="A5" s="2657" t="s">
        <v>492</v>
      </c>
      <c r="B5" s="2658"/>
      <c r="C5" s="2658"/>
      <c r="D5" s="2658"/>
      <c r="E5" s="2658"/>
      <c r="F5" s="2659"/>
      <c r="G5" s="3"/>
      <c r="H5" s="832" t="s">
        <v>493</v>
      </c>
      <c r="I5" s="4">
        <v>4186</v>
      </c>
      <c r="J5" s="6" t="s">
        <v>494</v>
      </c>
      <c r="L5" s="5"/>
      <c r="M5" s="7"/>
      <c r="N5" s="3"/>
    </row>
    <row r="6" spans="1:48" ht="13.8">
      <c r="A6" s="832" t="s">
        <v>495</v>
      </c>
      <c r="B6" s="4"/>
      <c r="C6" s="8">
        <v>8680</v>
      </c>
      <c r="D6" s="8">
        <v>860</v>
      </c>
      <c r="E6" s="8">
        <v>36.33</v>
      </c>
      <c r="F6" s="9">
        <v>34.44</v>
      </c>
      <c r="G6" s="3"/>
      <c r="H6" s="832"/>
      <c r="I6" s="4">
        <v>3.968</v>
      </c>
      <c r="J6" s="6" t="s">
        <v>496</v>
      </c>
      <c r="L6" s="5"/>
      <c r="M6" s="7"/>
      <c r="N6" s="3"/>
    </row>
    <row r="7" spans="1:48">
      <c r="A7" s="832" t="s">
        <v>497</v>
      </c>
      <c r="B7" s="4"/>
      <c r="C7" s="8">
        <v>7900</v>
      </c>
      <c r="D7" s="8">
        <v>782.72</v>
      </c>
      <c r="E7" s="8">
        <v>33.07</v>
      </c>
      <c r="F7" s="9">
        <v>31.35</v>
      </c>
      <c r="G7" s="3"/>
      <c r="H7" s="832" t="s">
        <v>498</v>
      </c>
      <c r="I7" s="4">
        <v>10.093</v>
      </c>
      <c r="J7" s="6" t="s">
        <v>499</v>
      </c>
    </row>
    <row r="8" spans="1:48" ht="13.8">
      <c r="A8" s="832" t="s">
        <v>500</v>
      </c>
      <c r="B8" s="4"/>
      <c r="C8" s="8"/>
      <c r="D8" s="8"/>
      <c r="E8" s="8"/>
      <c r="F8" s="9"/>
      <c r="G8" s="3"/>
      <c r="H8" s="832"/>
      <c r="I8" s="4">
        <v>42.244</v>
      </c>
      <c r="J8" s="6" t="s">
        <v>501</v>
      </c>
      <c r="L8" s="5"/>
      <c r="M8" s="10"/>
      <c r="N8" s="5"/>
    </row>
    <row r="9" spans="1:48" ht="13.8">
      <c r="A9" s="832"/>
      <c r="B9" s="4" t="s">
        <v>502</v>
      </c>
      <c r="C9" s="8">
        <v>248</v>
      </c>
      <c r="D9" s="8">
        <v>24.57</v>
      </c>
      <c r="E9" s="8">
        <v>1.04</v>
      </c>
      <c r="F9" s="9">
        <v>0.98</v>
      </c>
      <c r="G9" s="3"/>
      <c r="H9" s="832"/>
      <c r="I9" s="4">
        <f>40.047*10^6</f>
        <v>40047000</v>
      </c>
      <c r="J9" s="6" t="s">
        <v>496</v>
      </c>
      <c r="L9" s="5"/>
      <c r="M9" s="10"/>
      <c r="N9" s="5"/>
    </row>
    <row r="10" spans="1:48">
      <c r="A10" s="832"/>
      <c r="B10" s="4" t="s">
        <v>503</v>
      </c>
      <c r="C10" s="8">
        <v>244</v>
      </c>
      <c r="D10" s="8">
        <v>24.18</v>
      </c>
      <c r="E10" s="8">
        <v>1.02</v>
      </c>
      <c r="F10" s="9">
        <v>0.97</v>
      </c>
      <c r="G10" s="3"/>
      <c r="H10" s="832" t="s">
        <v>504</v>
      </c>
      <c r="I10" s="4">
        <v>158.99</v>
      </c>
      <c r="J10" s="6" t="s">
        <v>380</v>
      </c>
    </row>
    <row r="11" spans="1:48">
      <c r="A11" s="832" t="s">
        <v>505</v>
      </c>
      <c r="B11" s="4"/>
      <c r="C11" s="8"/>
      <c r="D11" s="8"/>
      <c r="E11" s="8"/>
      <c r="F11" s="9"/>
      <c r="G11" s="3"/>
      <c r="H11" s="832" t="s">
        <v>506</v>
      </c>
      <c r="I11" s="4">
        <v>600</v>
      </c>
      <c r="J11" s="6" t="s">
        <v>507</v>
      </c>
    </row>
    <row r="12" spans="1:48">
      <c r="A12" s="832"/>
      <c r="B12" s="4" t="s">
        <v>508</v>
      </c>
      <c r="C12" s="8">
        <v>6360</v>
      </c>
      <c r="D12" s="8">
        <v>630.14</v>
      </c>
      <c r="E12" s="8">
        <v>26.62</v>
      </c>
      <c r="F12" s="9">
        <v>25.24</v>
      </c>
      <c r="G12" s="3"/>
      <c r="H12" s="832" t="s">
        <v>509</v>
      </c>
      <c r="I12" s="4">
        <v>250</v>
      </c>
      <c r="J12" s="6" t="s">
        <v>507</v>
      </c>
    </row>
    <row r="13" spans="1:48">
      <c r="A13" s="832"/>
      <c r="B13" s="4" t="s">
        <v>510</v>
      </c>
      <c r="C13" s="8">
        <v>7520</v>
      </c>
      <c r="D13" s="8">
        <v>745.07</v>
      </c>
      <c r="E13" s="8">
        <v>31.48</v>
      </c>
      <c r="F13" s="9">
        <v>29.84</v>
      </c>
      <c r="G13" s="3"/>
      <c r="H13" s="832" t="s">
        <v>511</v>
      </c>
      <c r="I13" s="4">
        <v>1</v>
      </c>
      <c r="J13" s="6" t="s">
        <v>512</v>
      </c>
    </row>
    <row r="14" spans="1:48">
      <c r="A14" s="832"/>
      <c r="B14" s="4" t="s">
        <v>513</v>
      </c>
      <c r="C14" s="8">
        <v>8250</v>
      </c>
      <c r="D14" s="8">
        <v>817.4</v>
      </c>
      <c r="E14" s="8">
        <v>34.53</v>
      </c>
      <c r="F14" s="9">
        <v>32.74</v>
      </c>
      <c r="G14" s="3"/>
      <c r="H14" s="832" t="s">
        <v>514</v>
      </c>
      <c r="I14" s="4">
        <v>0.54</v>
      </c>
      <c r="J14" s="6" t="s">
        <v>507</v>
      </c>
    </row>
    <row r="15" spans="1:48" ht="13.8">
      <c r="A15" s="832"/>
      <c r="B15" s="4" t="s">
        <v>515</v>
      </c>
      <c r="C15" s="8">
        <v>8250</v>
      </c>
      <c r="D15" s="8">
        <v>817.4</v>
      </c>
      <c r="E15" s="8">
        <v>34.53</v>
      </c>
      <c r="F15" s="9">
        <v>32.74</v>
      </c>
      <c r="G15" s="3"/>
      <c r="H15" s="833" t="s">
        <v>516</v>
      </c>
      <c r="I15" s="5">
        <v>42.244</v>
      </c>
      <c r="J15" s="11" t="s">
        <v>501</v>
      </c>
    </row>
    <row r="16" spans="1:48" ht="13.8">
      <c r="A16" s="832"/>
      <c r="B16" s="4" t="s">
        <v>517</v>
      </c>
      <c r="C16" s="8">
        <v>8700</v>
      </c>
      <c r="D16" s="8">
        <v>861.98</v>
      </c>
      <c r="E16" s="8">
        <v>36.42</v>
      </c>
      <c r="F16" s="9">
        <v>34.520000000000003</v>
      </c>
      <c r="G16" s="3"/>
      <c r="H16" s="833" t="s">
        <v>518</v>
      </c>
      <c r="I16" s="5">
        <v>42.244</v>
      </c>
      <c r="J16" s="11" t="s">
        <v>519</v>
      </c>
    </row>
    <row r="17" spans="1:14" ht="13.35" customHeight="1">
      <c r="A17" s="832"/>
      <c r="B17" s="4" t="s">
        <v>520</v>
      </c>
      <c r="C17" s="8">
        <v>9500</v>
      </c>
      <c r="D17" s="8">
        <v>941.24</v>
      </c>
      <c r="E17" s="8">
        <v>39.770000000000003</v>
      </c>
      <c r="F17" s="9">
        <v>37.700000000000003</v>
      </c>
      <c r="G17" s="3"/>
      <c r="H17" s="832" t="s">
        <v>521</v>
      </c>
      <c r="I17" s="1838">
        <f>1*10^-6</f>
        <v>9.9999999999999995E-7</v>
      </c>
      <c r="J17" s="6" t="s">
        <v>522</v>
      </c>
    </row>
    <row r="18" spans="1:14">
      <c r="A18" s="832"/>
      <c r="B18" s="4" t="s">
        <v>523</v>
      </c>
      <c r="C18" s="8">
        <v>9840</v>
      </c>
      <c r="D18" s="8">
        <v>974.93</v>
      </c>
      <c r="E18" s="8">
        <v>41.19</v>
      </c>
      <c r="F18" s="9">
        <v>39.049999999999997</v>
      </c>
      <c r="G18" s="3"/>
      <c r="H18" s="2654" t="s">
        <v>524</v>
      </c>
      <c r="I18" s="2655"/>
      <c r="J18" s="2656"/>
      <c r="K18" s="3"/>
      <c r="L18" s="3"/>
    </row>
    <row r="19" spans="1:14" ht="13.8">
      <c r="A19" s="832"/>
      <c r="B19" s="4" t="s">
        <v>525</v>
      </c>
      <c r="C19" s="8">
        <v>8400</v>
      </c>
      <c r="D19" s="8">
        <v>832.26</v>
      </c>
      <c r="E19" s="8">
        <v>35.159999999999997</v>
      </c>
      <c r="F19" s="9">
        <v>33.33</v>
      </c>
      <c r="G19" s="3"/>
      <c r="H19" s="834" t="s">
        <v>526</v>
      </c>
      <c r="I19" s="3">
        <v>0.74309000000000003</v>
      </c>
      <c r="J19" s="12" t="s">
        <v>527</v>
      </c>
      <c r="L19" s="5"/>
      <c r="M19" s="5"/>
      <c r="N19" s="13"/>
    </row>
    <row r="20" spans="1:14">
      <c r="A20" s="832" t="s">
        <v>528</v>
      </c>
      <c r="B20" s="4"/>
      <c r="C20" s="8">
        <v>860</v>
      </c>
      <c r="D20" s="8">
        <v>85.21</v>
      </c>
      <c r="E20" s="8">
        <v>3.6</v>
      </c>
      <c r="F20" s="9">
        <v>3.41</v>
      </c>
      <c r="G20" s="3"/>
      <c r="H20" s="834" t="s">
        <v>529</v>
      </c>
      <c r="I20" s="3">
        <v>0.62419000000000002</v>
      </c>
      <c r="J20" s="12" t="s">
        <v>527</v>
      </c>
    </row>
    <row r="21" spans="1:14" ht="13.8">
      <c r="A21" s="832" t="s">
        <v>530</v>
      </c>
      <c r="B21" s="4"/>
      <c r="C21" s="8">
        <v>2236</v>
      </c>
      <c r="D21" s="8">
        <v>221.54</v>
      </c>
      <c r="E21" s="8">
        <v>9.36</v>
      </c>
      <c r="F21" s="9">
        <v>8.8699999999999992</v>
      </c>
      <c r="G21" s="3"/>
      <c r="H21" s="834" t="s">
        <v>531</v>
      </c>
      <c r="I21" s="14">
        <v>0.65391999999999995</v>
      </c>
      <c r="J21" s="12" t="s">
        <v>527</v>
      </c>
    </row>
    <row r="22" spans="1:14">
      <c r="A22" s="832" t="s">
        <v>532</v>
      </c>
      <c r="B22" s="4"/>
      <c r="C22" s="8">
        <v>9500</v>
      </c>
      <c r="D22" s="8">
        <v>941.24</v>
      </c>
      <c r="E22" s="8">
        <v>39.770000000000003</v>
      </c>
      <c r="F22" s="9">
        <v>37.700000000000003</v>
      </c>
      <c r="G22" s="3"/>
      <c r="H22" s="834" t="s">
        <v>533</v>
      </c>
      <c r="I22" s="3">
        <v>0.62419000000000002</v>
      </c>
      <c r="J22" s="12" t="s">
        <v>527</v>
      </c>
    </row>
    <row r="23" spans="1:14">
      <c r="A23" s="832" t="s">
        <v>534</v>
      </c>
      <c r="B23" s="4"/>
      <c r="C23" s="8">
        <v>6300</v>
      </c>
      <c r="D23" s="8">
        <v>624.19000000000005</v>
      </c>
      <c r="E23" s="8">
        <v>26.37</v>
      </c>
      <c r="F23" s="9">
        <v>25</v>
      </c>
      <c r="G23" s="3"/>
      <c r="H23" s="832" t="s">
        <v>535</v>
      </c>
      <c r="I23" s="15">
        <v>0.2477</v>
      </c>
      <c r="J23" s="12" t="s">
        <v>527</v>
      </c>
    </row>
    <row r="24" spans="1:14">
      <c r="A24" s="832" t="s">
        <v>536</v>
      </c>
      <c r="B24" s="4"/>
      <c r="C24" s="8">
        <v>6600</v>
      </c>
      <c r="D24" s="8">
        <v>653.91999999999996</v>
      </c>
      <c r="E24" s="8">
        <v>27.63</v>
      </c>
      <c r="F24" s="9">
        <v>26.19</v>
      </c>
      <c r="G24" s="3"/>
      <c r="H24" s="835" t="s">
        <v>537</v>
      </c>
      <c r="I24" s="16">
        <v>0.2576</v>
      </c>
      <c r="J24" s="12" t="s">
        <v>527</v>
      </c>
    </row>
    <row r="25" spans="1:14">
      <c r="A25" s="832" t="s">
        <v>538</v>
      </c>
      <c r="B25" s="4"/>
      <c r="C25" s="8">
        <v>7500</v>
      </c>
      <c r="D25" s="8">
        <v>743.09</v>
      </c>
      <c r="E25" s="8">
        <v>31.4</v>
      </c>
      <c r="F25" s="9">
        <v>29.76</v>
      </c>
      <c r="G25" s="3"/>
      <c r="H25" s="835" t="s">
        <v>539</v>
      </c>
      <c r="I25" s="17">
        <v>0.43593999999999999</v>
      </c>
      <c r="J25" s="12" t="s">
        <v>527</v>
      </c>
    </row>
    <row r="26" spans="1:14">
      <c r="A26" s="832" t="s">
        <v>540</v>
      </c>
      <c r="B26" s="4"/>
      <c r="C26" s="8">
        <v>11203</v>
      </c>
      <c r="D26" s="8">
        <v>1110.05</v>
      </c>
      <c r="E26" s="8">
        <v>46.89</v>
      </c>
      <c r="F26" s="9">
        <v>44.45</v>
      </c>
      <c r="G26" s="3"/>
      <c r="H26" s="836" t="s">
        <v>541</v>
      </c>
      <c r="I26" s="18">
        <v>0.86</v>
      </c>
      <c r="J26" s="19" t="s">
        <v>542</v>
      </c>
    </row>
    <row r="27" spans="1:14">
      <c r="A27" s="832" t="s">
        <v>543</v>
      </c>
      <c r="B27" s="4"/>
      <c r="C27" s="8">
        <v>11256</v>
      </c>
      <c r="D27" s="8">
        <v>1115.3399999999999</v>
      </c>
      <c r="E27" s="8">
        <v>47.11</v>
      </c>
      <c r="F27" s="9">
        <v>44.67</v>
      </c>
      <c r="G27" s="3"/>
      <c r="H27" s="836" t="s">
        <v>544</v>
      </c>
      <c r="I27" s="17">
        <v>0.78271999999999997</v>
      </c>
      <c r="J27" s="19" t="s">
        <v>542</v>
      </c>
      <c r="L27" s="3"/>
    </row>
    <row r="28" spans="1:14">
      <c r="A28" s="832" t="s">
        <v>545</v>
      </c>
      <c r="B28" s="4"/>
      <c r="C28" s="8"/>
      <c r="D28" s="8"/>
      <c r="E28" s="8"/>
      <c r="F28" s="9"/>
      <c r="G28" s="3"/>
      <c r="H28" s="836" t="s">
        <v>546</v>
      </c>
      <c r="I28" s="17">
        <v>2.4570000000000002E-2</v>
      </c>
      <c r="J28" s="19" t="s">
        <v>547</v>
      </c>
    </row>
    <row r="29" spans="1:14">
      <c r="A29" s="832"/>
      <c r="B29" s="4" t="s">
        <v>548</v>
      </c>
      <c r="C29" s="8">
        <v>4400</v>
      </c>
      <c r="D29" s="8">
        <v>435.94</v>
      </c>
      <c r="E29" s="8">
        <v>18.420000000000002</v>
      </c>
      <c r="F29" s="9">
        <v>17.46</v>
      </c>
      <c r="G29" s="3"/>
      <c r="H29" s="836" t="s">
        <v>549</v>
      </c>
      <c r="I29" s="17">
        <v>2.418E-2</v>
      </c>
      <c r="J29" s="19" t="s">
        <v>547</v>
      </c>
    </row>
    <row r="30" spans="1:14">
      <c r="A30" s="832"/>
      <c r="B30" s="4" t="s">
        <v>550</v>
      </c>
      <c r="C30" s="8">
        <v>2600</v>
      </c>
      <c r="D30" s="8">
        <v>257.60000000000002</v>
      </c>
      <c r="E30" s="8">
        <v>10.88</v>
      </c>
      <c r="F30" s="9">
        <v>10.32</v>
      </c>
      <c r="G30" s="3"/>
      <c r="H30" s="836" t="s">
        <v>551</v>
      </c>
      <c r="I30" s="17">
        <v>0.78271999999999997</v>
      </c>
      <c r="J30" s="19" t="s">
        <v>542</v>
      </c>
      <c r="M30" s="86"/>
    </row>
    <row r="31" spans="1:14">
      <c r="A31" s="832"/>
      <c r="B31" s="4" t="s">
        <v>552</v>
      </c>
      <c r="C31" s="8">
        <v>2500</v>
      </c>
      <c r="D31" s="8">
        <v>247.7</v>
      </c>
      <c r="E31" s="8">
        <v>10.47</v>
      </c>
      <c r="F31" s="9">
        <v>9.92</v>
      </c>
      <c r="G31" s="3"/>
      <c r="H31" s="836" t="s">
        <v>388</v>
      </c>
      <c r="I31" s="17">
        <v>0.63014000000000003</v>
      </c>
      <c r="J31" s="19" t="s">
        <v>542</v>
      </c>
    </row>
    <row r="32" spans="1:14">
      <c r="A32" s="832"/>
      <c r="B32" s="4" t="s">
        <v>553</v>
      </c>
      <c r="C32" s="8">
        <v>3610</v>
      </c>
      <c r="D32" s="8">
        <v>357.67</v>
      </c>
      <c r="E32" s="8">
        <v>15.11</v>
      </c>
      <c r="F32" s="9">
        <v>14.32</v>
      </c>
      <c r="G32" s="3"/>
      <c r="H32" s="836" t="s">
        <v>554</v>
      </c>
      <c r="I32" s="17">
        <v>0.74507000000000001</v>
      </c>
      <c r="J32" s="19" t="s">
        <v>542</v>
      </c>
    </row>
    <row r="33" spans="1:18">
      <c r="A33" s="832" t="s">
        <v>555</v>
      </c>
      <c r="B33" s="4"/>
      <c r="C33" s="8"/>
      <c r="D33" s="8"/>
      <c r="E33" s="8">
        <v>20.7</v>
      </c>
      <c r="F33" s="9"/>
      <c r="G33" s="3"/>
      <c r="H33" s="836" t="s">
        <v>556</v>
      </c>
      <c r="I33" s="18">
        <v>0.81740000000000002</v>
      </c>
      <c r="J33" s="19" t="s">
        <v>542</v>
      </c>
    </row>
    <row r="34" spans="1:18">
      <c r="A34" s="2657" t="s">
        <v>557</v>
      </c>
      <c r="B34" s="2658"/>
      <c r="C34" s="2658"/>
      <c r="D34" s="2658"/>
      <c r="E34" s="2658"/>
      <c r="F34" s="2659"/>
      <c r="G34" s="3"/>
      <c r="H34" s="836" t="s">
        <v>558</v>
      </c>
      <c r="I34" s="18">
        <v>0.81740000000000002</v>
      </c>
      <c r="J34" s="19" t="s">
        <v>542</v>
      </c>
    </row>
    <row r="35" spans="1:18">
      <c r="A35" s="832" t="s">
        <v>559</v>
      </c>
      <c r="B35" s="4"/>
      <c r="C35" s="8">
        <v>3820</v>
      </c>
      <c r="D35" s="8">
        <v>378.48</v>
      </c>
      <c r="E35" s="8">
        <v>15.99</v>
      </c>
      <c r="F35" s="9">
        <v>15.16</v>
      </c>
      <c r="G35" s="3"/>
      <c r="H35" s="832" t="s">
        <v>560</v>
      </c>
      <c r="I35" s="17">
        <v>0.86197999999999997</v>
      </c>
      <c r="J35" s="19" t="s">
        <v>542</v>
      </c>
    </row>
    <row r="36" spans="1:18">
      <c r="A36" s="832" t="s">
        <v>561</v>
      </c>
      <c r="B36" s="4"/>
      <c r="C36" s="8">
        <v>6900</v>
      </c>
      <c r="D36" s="8">
        <v>683.64</v>
      </c>
      <c r="E36" s="8">
        <v>28.88</v>
      </c>
      <c r="F36" s="9">
        <v>27.38</v>
      </c>
      <c r="G36" s="3"/>
      <c r="H36" s="832" t="s">
        <v>479</v>
      </c>
      <c r="I36" s="17">
        <v>0.94123999999999997</v>
      </c>
      <c r="J36" s="19" t="s">
        <v>542</v>
      </c>
    </row>
    <row r="37" spans="1:18">
      <c r="A37" s="832" t="s">
        <v>562</v>
      </c>
      <c r="B37" s="4"/>
      <c r="C37" s="8">
        <v>3440</v>
      </c>
      <c r="D37" s="8">
        <v>340.83</v>
      </c>
      <c r="E37" s="8">
        <v>14.4</v>
      </c>
      <c r="F37" s="9">
        <v>13.65</v>
      </c>
      <c r="G37" s="3"/>
      <c r="H37" s="832" t="s">
        <v>563</v>
      </c>
      <c r="I37" s="17">
        <v>0.11493</v>
      </c>
      <c r="J37" s="12" t="s">
        <v>527</v>
      </c>
    </row>
    <row r="38" spans="1:18">
      <c r="A38" s="832" t="s">
        <v>564</v>
      </c>
      <c r="B38" s="4"/>
      <c r="C38" s="8">
        <v>1800</v>
      </c>
      <c r="D38" s="8">
        <v>178.34</v>
      </c>
      <c r="E38" s="8">
        <v>7.53</v>
      </c>
      <c r="F38" s="9">
        <v>7.14</v>
      </c>
      <c r="G38" s="3"/>
      <c r="H38" s="832" t="s">
        <v>565</v>
      </c>
      <c r="I38" s="20">
        <v>4.9538999999999999E-7</v>
      </c>
      <c r="J38" s="12" t="s">
        <v>566</v>
      </c>
    </row>
    <row r="39" spans="1:18">
      <c r="A39" s="832" t="s">
        <v>567</v>
      </c>
      <c r="B39" s="4"/>
      <c r="C39" s="8">
        <v>1160</v>
      </c>
      <c r="D39" s="8">
        <v>114.93</v>
      </c>
      <c r="E39" s="8">
        <v>4.8600000000000003</v>
      </c>
      <c r="F39" s="9">
        <v>4.5999999999999996</v>
      </c>
      <c r="G39" s="3"/>
      <c r="H39" s="834" t="s">
        <v>568</v>
      </c>
      <c r="I39" s="3">
        <v>0.37847999999999998</v>
      </c>
      <c r="J39" s="12" t="s">
        <v>527</v>
      </c>
    </row>
    <row r="40" spans="1:18">
      <c r="A40" s="832" t="s">
        <v>569</v>
      </c>
      <c r="B40" s="4"/>
      <c r="C40" s="8">
        <v>2600</v>
      </c>
      <c r="D40" s="8">
        <v>257.60000000000002</v>
      </c>
      <c r="E40" s="8">
        <v>10.88</v>
      </c>
      <c r="F40" s="9">
        <v>10.32</v>
      </c>
      <c r="G40" s="3"/>
      <c r="H40" s="834" t="s">
        <v>570</v>
      </c>
      <c r="I40" s="3">
        <v>0.68364000000000003</v>
      </c>
      <c r="J40" s="12" t="s">
        <v>527</v>
      </c>
    </row>
    <row r="41" spans="1:18">
      <c r="A41" s="832" t="s">
        <v>571</v>
      </c>
      <c r="B41" s="4"/>
      <c r="C41" s="8">
        <v>3030</v>
      </c>
      <c r="D41" s="8">
        <v>300.20999999999998</v>
      </c>
      <c r="E41" s="8">
        <v>12.68</v>
      </c>
      <c r="F41" s="9">
        <v>12.02</v>
      </c>
      <c r="G41" s="3"/>
      <c r="H41" s="834" t="s">
        <v>572</v>
      </c>
      <c r="I41" s="3">
        <v>0.34083000000000002</v>
      </c>
      <c r="J41" s="12" t="s">
        <v>527</v>
      </c>
    </row>
    <row r="42" spans="1:18" ht="14.4">
      <c r="A42" s="837" t="s">
        <v>573</v>
      </c>
      <c r="B42" s="838"/>
      <c r="C42" s="839">
        <v>5000</v>
      </c>
      <c r="D42" s="839">
        <v>495.39</v>
      </c>
      <c r="E42" s="839">
        <v>20.93</v>
      </c>
      <c r="F42" s="840">
        <v>19.84</v>
      </c>
      <c r="G42" s="3"/>
      <c r="H42" s="841" t="s">
        <v>574</v>
      </c>
      <c r="I42" s="842">
        <v>0.17834</v>
      </c>
      <c r="J42" s="843" t="s">
        <v>527</v>
      </c>
    </row>
    <row r="46" spans="1:18" ht="21">
      <c r="P46" s="2"/>
      <c r="Q46" s="2"/>
      <c r="R46" s="2"/>
    </row>
    <row r="47" spans="1:18" ht="21">
      <c r="P47" s="2"/>
      <c r="Q47" s="2"/>
      <c r="R47" s="2"/>
    </row>
  </sheetData>
  <mergeCells count="5">
    <mergeCell ref="A4:B4"/>
    <mergeCell ref="H4:J4"/>
    <mergeCell ref="A5:F5"/>
    <mergeCell ref="H18:J18"/>
    <mergeCell ref="A34:F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V159"/>
  <sheetViews>
    <sheetView tabSelected="1" topLeftCell="D4" zoomScale="70" zoomScaleNormal="70" zoomScaleSheetLayoutView="70" workbookViewId="0">
      <selection activeCell="H20" sqref="H20"/>
    </sheetView>
  </sheetViews>
  <sheetFormatPr defaultColWidth="18.44140625" defaultRowHeight="13.2"/>
  <cols>
    <col min="1" max="1" width="2.44140625" style="295" customWidth="1"/>
    <col min="2" max="2" width="10.44140625" style="295" customWidth="1"/>
    <col min="3" max="3" width="45" style="295" bestFit="1" customWidth="1"/>
    <col min="4" max="4" width="32.44140625" style="295" customWidth="1"/>
    <col min="5" max="13" width="15.44140625" style="295" customWidth="1"/>
    <col min="14" max="15" width="20.44140625" style="295" customWidth="1"/>
    <col min="16" max="16" width="18.44140625" style="296"/>
    <col min="17" max="17" width="5.44140625" style="299" customWidth="1"/>
    <col min="18" max="16384" width="18.44140625" style="299"/>
  </cols>
  <sheetData>
    <row r="1" spans="1:16">
      <c r="A1" s="293"/>
      <c r="B1" s="294"/>
      <c r="C1" s="294"/>
      <c r="D1" s="294"/>
      <c r="E1" s="294"/>
      <c r="F1" s="294"/>
      <c r="G1" s="294"/>
      <c r="H1" s="294"/>
      <c r="I1" s="296"/>
      <c r="J1" s="299"/>
      <c r="K1" s="299"/>
      <c r="L1" s="299"/>
      <c r="M1" s="299"/>
      <c r="N1" s="299"/>
      <c r="O1" s="299"/>
      <c r="P1" s="299"/>
    </row>
    <row r="2" spans="1:16">
      <c r="A2" s="293"/>
      <c r="B2" s="305" t="s">
        <v>136</v>
      </c>
      <c r="C2" s="306"/>
      <c r="D2" s="306"/>
      <c r="E2" s="306"/>
      <c r="F2" s="306"/>
      <c r="G2" s="306"/>
      <c r="H2" s="306"/>
      <c r="I2" s="306"/>
      <c r="J2" s="1292"/>
      <c r="K2" s="1292"/>
      <c r="L2" s="1292"/>
      <c r="M2" s="299"/>
      <c r="N2" s="299"/>
      <c r="O2" s="299"/>
      <c r="P2" s="299"/>
    </row>
    <row r="3" spans="1:16">
      <c r="B3" s="310"/>
      <c r="C3" s="1412"/>
      <c r="D3" s="311"/>
      <c r="E3" s="311"/>
      <c r="F3" s="311"/>
      <c r="G3" s="311"/>
      <c r="H3" s="311"/>
      <c r="I3" s="296"/>
      <c r="J3" s="299"/>
      <c r="K3" s="299"/>
      <c r="L3" s="299"/>
      <c r="M3" s="299"/>
      <c r="N3" s="299"/>
      <c r="O3" s="299"/>
      <c r="P3" s="299"/>
    </row>
    <row r="4" spans="1:16" ht="15" customHeight="1">
      <c r="A4" s="293"/>
      <c r="B4" s="306" t="s">
        <v>137</v>
      </c>
      <c r="C4" s="1413">
        <f>'City information'!$C$4</f>
        <v>0</v>
      </c>
      <c r="D4" s="306"/>
      <c r="E4" s="305" t="s">
        <v>138</v>
      </c>
      <c r="F4" s="307"/>
      <c r="G4" s="307"/>
      <c r="H4" s="308">
        <f>'City information'!C6</f>
        <v>0</v>
      </c>
      <c r="I4" s="306" t="s">
        <v>139</v>
      </c>
      <c r="J4" s="1292"/>
      <c r="K4" s="1292"/>
      <c r="L4" s="299"/>
      <c r="M4" s="299"/>
      <c r="N4" s="299"/>
      <c r="O4" s="299"/>
      <c r="P4" s="299"/>
    </row>
    <row r="5" spans="1:16" ht="15" customHeight="1">
      <c r="A5" s="293"/>
      <c r="B5" s="120" t="s">
        <v>140</v>
      </c>
      <c r="C5" s="1413">
        <f>'City information'!$C$5</f>
        <v>2562</v>
      </c>
      <c r="D5" s="306"/>
      <c r="E5" s="305" t="s">
        <v>141</v>
      </c>
      <c r="F5" s="307"/>
      <c r="G5" s="307"/>
      <c r="H5" s="308">
        <f>'City information'!C7</f>
        <v>0</v>
      </c>
      <c r="I5" s="306" t="s">
        <v>139</v>
      </c>
      <c r="J5" s="1292"/>
      <c r="K5" s="1292"/>
      <c r="L5" s="299"/>
      <c r="M5" s="299"/>
      <c r="N5" s="299"/>
      <c r="O5" s="299"/>
      <c r="P5" s="299"/>
    </row>
    <row r="6" spans="1:16" ht="15" customHeight="1">
      <c r="A6" s="293"/>
      <c r="B6" s="120" t="s">
        <v>142</v>
      </c>
      <c r="C6" s="1414">
        <f>'City information'!C11</f>
        <v>0</v>
      </c>
      <c r="D6" s="306" t="s">
        <v>143</v>
      </c>
      <c r="E6" s="306" t="s">
        <v>144</v>
      </c>
      <c r="F6" s="307"/>
      <c r="G6" s="307"/>
      <c r="H6" s="308">
        <f>'City information'!C10</f>
        <v>0</v>
      </c>
      <c r="I6" s="306" t="s">
        <v>145</v>
      </c>
      <c r="J6" s="1292"/>
      <c r="K6" s="1292"/>
      <c r="L6" s="299"/>
      <c r="M6" s="299"/>
      <c r="N6" s="299"/>
      <c r="O6" s="299"/>
      <c r="P6" s="299"/>
    </row>
    <row r="7" spans="1:16">
      <c r="A7" s="293"/>
      <c r="B7" s="294"/>
      <c r="C7" s="294"/>
      <c r="D7" s="294"/>
      <c r="E7" s="294"/>
      <c r="F7" s="294"/>
      <c r="G7" s="294"/>
      <c r="H7" s="294"/>
      <c r="I7" s="294"/>
      <c r="J7" s="293"/>
      <c r="K7" s="293"/>
      <c r="L7" s="293"/>
      <c r="M7" s="293"/>
      <c r="N7" s="293"/>
      <c r="O7" s="293"/>
      <c r="P7" s="299"/>
    </row>
    <row r="8" spans="1:16">
      <c r="A8" s="293"/>
      <c r="B8" s="1986" t="s">
        <v>146</v>
      </c>
      <c r="C8" s="1986"/>
      <c r="D8" s="1986"/>
      <c r="E8" s="1987" t="s">
        <v>2469</v>
      </c>
      <c r="F8" s="1988"/>
      <c r="G8" s="1988"/>
      <c r="H8" s="1988"/>
      <c r="I8" s="1989"/>
      <c r="J8" s="293"/>
      <c r="K8" s="293"/>
      <c r="L8" s="293"/>
      <c r="M8" s="293"/>
      <c r="N8" s="293"/>
      <c r="O8" s="293"/>
      <c r="P8" s="299"/>
    </row>
    <row r="9" spans="1:16">
      <c r="A9" s="293"/>
      <c r="B9" s="1986"/>
      <c r="C9" s="1986"/>
      <c r="D9" s="1986"/>
      <c r="E9" s="852" t="s">
        <v>147</v>
      </c>
      <c r="F9" s="852" t="s">
        <v>148</v>
      </c>
      <c r="G9" s="852" t="s">
        <v>149</v>
      </c>
      <c r="H9" s="852" t="s">
        <v>150</v>
      </c>
      <c r="I9" s="852" t="s">
        <v>151</v>
      </c>
      <c r="J9" s="293"/>
      <c r="K9" s="1293"/>
      <c r="L9" s="1293"/>
      <c r="M9" s="1293"/>
      <c r="N9" s="1293"/>
      <c r="O9" s="1293"/>
      <c r="P9" s="299"/>
    </row>
    <row r="10" spans="1:16">
      <c r="A10" s="293"/>
      <c r="B10" s="1991" t="s">
        <v>152</v>
      </c>
      <c r="C10" s="1990" t="s">
        <v>153</v>
      </c>
      <c r="D10" s="315" t="s">
        <v>154</v>
      </c>
      <c r="E10" s="1790">
        <f>F31</f>
        <v>0</v>
      </c>
      <c r="F10" s="1790">
        <f>ROUND(G22+G23+G24+G25+G27+G28,0)</f>
        <v>0</v>
      </c>
      <c r="G10" s="1791">
        <f>H31</f>
        <v>0</v>
      </c>
      <c r="H10" s="1779">
        <f>E10+F10</f>
        <v>0</v>
      </c>
      <c r="I10" s="1779">
        <f>H10+G10</f>
        <v>0</v>
      </c>
      <c r="J10" s="1294"/>
      <c r="K10" s="1295"/>
      <c r="L10" s="1295"/>
      <c r="M10" s="1295"/>
      <c r="N10" s="1295"/>
      <c r="O10" s="1295"/>
      <c r="P10" s="299"/>
    </row>
    <row r="11" spans="1:16">
      <c r="A11" s="293"/>
      <c r="B11" s="1991"/>
      <c r="C11" s="1990"/>
      <c r="D11" s="315" t="s">
        <v>155</v>
      </c>
      <c r="E11" s="1792">
        <f>ROUND(F26,0)</f>
        <v>0</v>
      </c>
      <c r="F11" s="1793"/>
      <c r="G11" s="1793"/>
      <c r="H11" s="1780"/>
      <c r="I11" s="1780"/>
      <c r="J11" s="1294"/>
      <c r="K11" s="1295"/>
      <c r="L11" s="1295"/>
      <c r="M11" s="1295"/>
      <c r="N11" s="1295"/>
      <c r="O11" s="1295"/>
      <c r="P11" s="299"/>
    </row>
    <row r="12" spans="1:16" ht="13.35" customHeight="1">
      <c r="A12" s="293"/>
      <c r="B12" s="854" t="s">
        <v>156</v>
      </c>
      <c r="C12" s="853" t="s">
        <v>157</v>
      </c>
      <c r="D12" s="315" t="s">
        <v>158</v>
      </c>
      <c r="E12" s="1790">
        <f>ROUND(F38,0)</f>
        <v>0</v>
      </c>
      <c r="F12" s="1790">
        <f>ROUND(G38,0)</f>
        <v>0</v>
      </c>
      <c r="G12" s="1794">
        <f>ROUND(H33+H34+H35+H36,0)</f>
        <v>0</v>
      </c>
      <c r="H12" s="1779">
        <f>E12+F12</f>
        <v>0</v>
      </c>
      <c r="I12" s="1779">
        <f>H12+G12</f>
        <v>0</v>
      </c>
      <c r="J12" s="293"/>
      <c r="K12" s="1295"/>
      <c r="L12" s="1295"/>
      <c r="M12" s="1295"/>
      <c r="N12" s="1295"/>
      <c r="O12" s="1295"/>
      <c r="P12" s="299"/>
    </row>
    <row r="13" spans="1:16">
      <c r="A13" s="293"/>
      <c r="B13" s="1991" t="s">
        <v>159</v>
      </c>
      <c r="C13" s="1990" t="s">
        <v>160</v>
      </c>
      <c r="D13" s="315" t="s">
        <v>161</v>
      </c>
      <c r="E13" s="1790">
        <f>ROUND(F40+F41+F42+F43,0)</f>
        <v>0</v>
      </c>
      <c r="F13" s="1793"/>
      <c r="G13" s="1790">
        <f>ROUND(H40+H41+H42+H43,0)</f>
        <v>0</v>
      </c>
      <c r="H13" s="1781">
        <f>E13+G13</f>
        <v>0</v>
      </c>
      <c r="I13" s="1781">
        <f>H13</f>
        <v>0</v>
      </c>
      <c r="J13" s="293"/>
      <c r="K13" s="1295"/>
      <c r="L13" s="1295"/>
      <c r="M13" s="1295"/>
      <c r="N13" s="1295"/>
      <c r="O13" s="1295"/>
      <c r="P13" s="299"/>
    </row>
    <row r="14" spans="1:16">
      <c r="A14" s="293"/>
      <c r="B14" s="1991"/>
      <c r="C14" s="1990"/>
      <c r="D14" s="315" t="s">
        <v>162</v>
      </c>
      <c r="E14" s="1792">
        <f>ROUND(F44+F45+F46+F47,0)</f>
        <v>0</v>
      </c>
      <c r="F14" s="1793"/>
      <c r="G14" s="1793"/>
      <c r="H14" s="1780"/>
      <c r="I14" s="1780"/>
      <c r="J14" s="293"/>
      <c r="K14" s="1295"/>
      <c r="L14" s="1295"/>
      <c r="M14" s="1295"/>
      <c r="N14" s="1295"/>
      <c r="O14" s="1295"/>
      <c r="P14" s="299"/>
    </row>
    <row r="15" spans="1:16" ht="13.35" customHeight="1">
      <c r="A15" s="293"/>
      <c r="B15" s="854" t="s">
        <v>163</v>
      </c>
      <c r="C15" s="853" t="s">
        <v>164</v>
      </c>
      <c r="D15" s="315" t="s">
        <v>158</v>
      </c>
      <c r="E15" s="1794">
        <f>ROUND(F52,0)</f>
        <v>0</v>
      </c>
      <c r="F15" s="1793"/>
      <c r="G15" s="1793"/>
      <c r="H15" s="1780"/>
      <c r="I15" s="1782">
        <f>E15</f>
        <v>0</v>
      </c>
      <c r="J15" s="1294"/>
      <c r="K15" s="1295"/>
      <c r="L15" s="1295"/>
      <c r="M15" s="1295"/>
      <c r="N15" s="1295"/>
      <c r="O15" s="1295"/>
      <c r="P15" s="299"/>
    </row>
    <row r="16" spans="1:16" ht="13.35" customHeight="1">
      <c r="A16" s="293"/>
      <c r="B16" s="854" t="s">
        <v>165</v>
      </c>
      <c r="C16" s="853" t="s">
        <v>166</v>
      </c>
      <c r="D16" s="315" t="s">
        <v>158</v>
      </c>
      <c r="E16" s="1794">
        <f>ROUND(F62,0)</f>
        <v>0</v>
      </c>
      <c r="F16" s="1793"/>
      <c r="G16" s="1793"/>
      <c r="H16" s="1780"/>
      <c r="I16" s="1779">
        <f>E16</f>
        <v>0</v>
      </c>
      <c r="J16" s="1294"/>
      <c r="K16" s="293"/>
      <c r="L16" s="293"/>
      <c r="M16" s="293"/>
      <c r="N16" s="293"/>
      <c r="O16" s="1295"/>
      <c r="P16" s="299"/>
    </row>
    <row r="17" spans="1:16">
      <c r="A17" s="293"/>
      <c r="B17" s="1992" t="s">
        <v>167</v>
      </c>
      <c r="C17" s="1992"/>
      <c r="D17" s="1992"/>
      <c r="E17" s="1783">
        <f>SUM(E10:E16)</f>
        <v>0</v>
      </c>
      <c r="F17" s="1783">
        <f>SUM(F10:F16)</f>
        <v>0</v>
      </c>
      <c r="G17" s="1783">
        <f>SUM(G10:G16)</f>
        <v>0</v>
      </c>
      <c r="H17" s="1783">
        <f>SUM(H10:H16)</f>
        <v>0</v>
      </c>
      <c r="I17" s="1783">
        <f>SUM(I10:I16)</f>
        <v>0</v>
      </c>
      <c r="J17" s="293"/>
      <c r="K17" s="293"/>
      <c r="L17" s="293"/>
      <c r="M17" s="293"/>
      <c r="N17" s="293"/>
      <c r="O17" s="293"/>
      <c r="P17" s="299"/>
    </row>
    <row r="18" spans="1:16" ht="13.8" thickBot="1">
      <c r="A18" s="293"/>
      <c r="B18" s="297"/>
      <c r="C18" s="297"/>
      <c r="D18" s="293"/>
      <c r="E18" s="293"/>
      <c r="F18" s="293"/>
      <c r="G18" s="293"/>
      <c r="H18" s="293"/>
      <c r="I18" s="293"/>
      <c r="J18" s="293"/>
      <c r="K18" s="1296"/>
      <c r="L18" s="1296"/>
      <c r="M18" s="1296"/>
      <c r="N18" s="1296"/>
      <c r="O18" s="1296"/>
      <c r="P18" s="299"/>
    </row>
    <row r="19" spans="1:16" ht="13.8" thickBot="1">
      <c r="A19" s="293"/>
      <c r="B19" s="1993" t="s">
        <v>168</v>
      </c>
      <c r="C19" s="1979"/>
      <c r="D19" s="1979"/>
      <c r="E19" s="1979"/>
      <c r="F19" s="1976" t="s">
        <v>2467</v>
      </c>
      <c r="G19" s="1977"/>
      <c r="H19" s="1977"/>
      <c r="I19" s="1978"/>
      <c r="J19" s="1979" t="s">
        <v>169</v>
      </c>
      <c r="K19" s="1979"/>
      <c r="L19" s="1979"/>
      <c r="M19" s="1979"/>
      <c r="N19" s="1980"/>
      <c r="O19" s="1981"/>
      <c r="P19" s="1974" t="s">
        <v>170</v>
      </c>
    </row>
    <row r="20" spans="1:16" ht="27" thickBot="1">
      <c r="A20" s="293"/>
      <c r="B20" s="1994"/>
      <c r="C20" s="1995"/>
      <c r="D20" s="1995"/>
      <c r="E20" s="1995"/>
      <c r="F20" s="551" t="s">
        <v>147</v>
      </c>
      <c r="G20" s="552" t="s">
        <v>148</v>
      </c>
      <c r="H20" s="552" t="s">
        <v>149</v>
      </c>
      <c r="I20" s="553" t="s">
        <v>171</v>
      </c>
      <c r="J20" s="345" t="s">
        <v>147</v>
      </c>
      <c r="K20" s="312" t="s">
        <v>148</v>
      </c>
      <c r="L20" s="312" t="s">
        <v>149</v>
      </c>
      <c r="M20" s="313" t="s">
        <v>171</v>
      </c>
      <c r="N20" s="341" t="s">
        <v>172</v>
      </c>
      <c r="O20" s="342" t="s">
        <v>173</v>
      </c>
      <c r="P20" s="1975"/>
    </row>
    <row r="21" spans="1:16">
      <c r="A21" s="293"/>
      <c r="B21" s="332" t="s">
        <v>174</v>
      </c>
      <c r="C21" s="333"/>
      <c r="D21" s="334"/>
      <c r="E21" s="334"/>
      <c r="F21" s="339"/>
      <c r="G21" s="334"/>
      <c r="H21" s="334"/>
      <c r="I21" s="334"/>
      <c r="J21" s="346"/>
      <c r="K21" s="335"/>
      <c r="L21" s="335"/>
      <c r="M21" s="344"/>
      <c r="N21" s="344"/>
      <c r="O21" s="340"/>
      <c r="P21" s="352"/>
    </row>
    <row r="22" spans="1:16">
      <c r="A22" s="293"/>
      <c r="B22" s="785" t="s">
        <v>175</v>
      </c>
      <c r="C22" s="1982" t="s">
        <v>176</v>
      </c>
      <c r="D22" s="1983"/>
      <c r="E22" s="1983"/>
      <c r="F22" s="1795">
        <f>SUM('I.Stationary Energy'!Q10:Q13)</f>
        <v>0</v>
      </c>
      <c r="G22" s="1796">
        <f>'I.Stationary Energy'!Q69</f>
        <v>0</v>
      </c>
      <c r="H22" s="1791">
        <f>'I.Stationary Energy'!Q77</f>
        <v>0</v>
      </c>
      <c r="I22" s="1797">
        <f>SUM(F22:H22)</f>
        <v>0</v>
      </c>
      <c r="J22" s="348">
        <f>IFERROR(F22/$I$31,0)</f>
        <v>0</v>
      </c>
      <c r="K22" s="314">
        <f>IFERROR(G22/$I$31,0)</f>
        <v>0</v>
      </c>
      <c r="L22" s="314">
        <f>IFERROR(H22/$I$31,0)</f>
        <v>0</v>
      </c>
      <c r="M22" s="904">
        <f>IFERROR(I22/$I$31,0)</f>
        <v>0</v>
      </c>
      <c r="N22" s="904">
        <f>IFERROR(I22/$I$31,0)</f>
        <v>0</v>
      </c>
      <c r="O22" s="336">
        <f>IFERROR(I22/$I$64,0)</f>
        <v>0</v>
      </c>
      <c r="P22" s="353">
        <f>RANK(O22,$O$22:$O$62)+COUNTIF($O$22:O22,O22)-1</f>
        <v>1</v>
      </c>
    </row>
    <row r="23" spans="1:16" ht="13.35" customHeight="1">
      <c r="A23" s="293"/>
      <c r="B23" s="785" t="s">
        <v>177</v>
      </c>
      <c r="C23" s="1982" t="s">
        <v>178</v>
      </c>
      <c r="D23" s="1983"/>
      <c r="E23" s="1996"/>
      <c r="F23" s="1795">
        <f>SUM('I.Stationary Energy'!Q14:Q21)</f>
        <v>0</v>
      </c>
      <c r="G23" s="1796">
        <f>'I.Stationary Energy'!Q70</f>
        <v>0</v>
      </c>
      <c r="H23" s="1791">
        <f>'I.Stationary Energy'!Q78</f>
        <v>0</v>
      </c>
      <c r="I23" s="1797">
        <f>SUM(F23:H23)</f>
        <v>0</v>
      </c>
      <c r="J23" s="348">
        <f t="shared" ref="J23:L25" si="0">IFERROR(F23/$I$31,0)</f>
        <v>0</v>
      </c>
      <c r="K23" s="314">
        <f t="shared" si="0"/>
        <v>0</v>
      </c>
      <c r="L23" s="314">
        <f t="shared" si="0"/>
        <v>0</v>
      </c>
      <c r="M23" s="904">
        <f t="shared" ref="M23:M31" si="1">IFERROR(I23/$I$31,0)</f>
        <v>0</v>
      </c>
      <c r="N23" s="904">
        <f t="shared" ref="N23:N30" si="2">IFERROR(I23/$I$31,0)</f>
        <v>0</v>
      </c>
      <c r="O23" s="336">
        <f>IFERROR(I23/$I$64,0)</f>
        <v>0</v>
      </c>
      <c r="P23" s="353">
        <f>RANK(O23,$O$22:$O$62)+COUNTIF($O$22:O23,O23)-1</f>
        <v>2</v>
      </c>
    </row>
    <row r="24" spans="1:16">
      <c r="A24" s="293"/>
      <c r="B24" s="785" t="s">
        <v>179</v>
      </c>
      <c r="C24" s="1982" t="s">
        <v>2577</v>
      </c>
      <c r="D24" s="1983"/>
      <c r="E24" s="1983"/>
      <c r="F24" s="1795">
        <f>SUM('I.Stationary Energy'!Q22:Q32)</f>
        <v>0</v>
      </c>
      <c r="G24" s="1796">
        <f>'I.Stationary Energy'!Q71</f>
        <v>0</v>
      </c>
      <c r="H24" s="1791">
        <f>'I.Stationary Energy'!Q79</f>
        <v>0</v>
      </c>
      <c r="I24" s="1797">
        <f>SUM(F24:H24)</f>
        <v>0</v>
      </c>
      <c r="J24" s="348">
        <f t="shared" si="0"/>
        <v>0</v>
      </c>
      <c r="K24" s="314">
        <f t="shared" si="0"/>
        <v>0</v>
      </c>
      <c r="L24" s="314">
        <f t="shared" si="0"/>
        <v>0</v>
      </c>
      <c r="M24" s="904">
        <f t="shared" si="1"/>
        <v>0</v>
      </c>
      <c r="N24" s="904">
        <f t="shared" si="2"/>
        <v>0</v>
      </c>
      <c r="O24" s="336">
        <f>IFERROR(I24/$I$64,0)</f>
        <v>0</v>
      </c>
      <c r="P24" s="353">
        <f>RANK(O24,$O$22:$O$62)+COUNTIF($O$22:O24,O24)-1</f>
        <v>3</v>
      </c>
    </row>
    <row r="25" spans="1:16" ht="13.35" customHeight="1">
      <c r="A25" s="293"/>
      <c r="B25" s="785" t="s">
        <v>180</v>
      </c>
      <c r="C25" s="1982" t="s">
        <v>181</v>
      </c>
      <c r="D25" s="1983"/>
      <c r="E25" s="1983"/>
      <c r="F25" s="1798">
        <f>SUM('I.Stationary Energy'!Q33:Q39)</f>
        <v>0</v>
      </c>
      <c r="G25" s="1796">
        <f>'I.Stationary Energy'!Q72</f>
        <v>0</v>
      </c>
      <c r="H25" s="1791">
        <f>'I.Stationary Energy'!Q80</f>
        <v>0</v>
      </c>
      <c r="I25" s="1797">
        <f>SUM(F25:H25)</f>
        <v>0</v>
      </c>
      <c r="J25" s="348">
        <f t="shared" si="0"/>
        <v>0</v>
      </c>
      <c r="K25" s="314">
        <f t="shared" si="0"/>
        <v>0</v>
      </c>
      <c r="L25" s="314">
        <f t="shared" si="0"/>
        <v>0</v>
      </c>
      <c r="M25" s="904">
        <f t="shared" si="1"/>
        <v>0</v>
      </c>
      <c r="N25" s="904">
        <f t="shared" si="2"/>
        <v>0</v>
      </c>
      <c r="O25" s="336">
        <f>IFERROR(I25/$I$64,0)</f>
        <v>0</v>
      </c>
      <c r="P25" s="353">
        <f>RANK(O25,$O$22:$O$62)+COUNTIF($O$22:O25,O25)-1</f>
        <v>4</v>
      </c>
    </row>
    <row r="26" spans="1:16">
      <c r="A26" s="293"/>
      <c r="B26" s="785" t="s">
        <v>182</v>
      </c>
      <c r="C26" s="1982" t="s">
        <v>183</v>
      </c>
      <c r="D26" s="1983"/>
      <c r="E26" s="1983"/>
      <c r="F26" s="1799">
        <f>SUM('I.Stationary Energy'!Q40:Q48)</f>
        <v>0</v>
      </c>
      <c r="G26" s="1800"/>
      <c r="H26" s="1800"/>
      <c r="I26" s="1801"/>
      <c r="J26" s="349"/>
      <c r="K26" s="325"/>
      <c r="L26" s="325"/>
      <c r="M26" s="905"/>
      <c r="N26" s="905"/>
      <c r="O26" s="337"/>
      <c r="P26" s="354"/>
    </row>
    <row r="27" spans="1:16" ht="13.35" customHeight="1">
      <c r="A27" s="293"/>
      <c r="B27" s="785" t="s">
        <v>184</v>
      </c>
      <c r="C27" s="1982" t="s">
        <v>185</v>
      </c>
      <c r="D27" s="1983"/>
      <c r="E27" s="1983"/>
      <c r="F27" s="1795">
        <f>SUM('I.Stationary Energy'!Q49:Q50)</f>
        <v>0</v>
      </c>
      <c r="G27" s="1796">
        <f>'I.Stationary Energy'!Q73</f>
        <v>0</v>
      </c>
      <c r="H27" s="1791">
        <f>'I.Stationary Energy'!Q81</f>
        <v>0</v>
      </c>
      <c r="I27" s="1797">
        <f>SUM(F27:H27)</f>
        <v>0</v>
      </c>
      <c r="J27" s="348">
        <f t="shared" ref="J27:L28" si="3">IFERROR(F27/$I$31,0)</f>
        <v>0</v>
      </c>
      <c r="K27" s="314">
        <f t="shared" si="3"/>
        <v>0</v>
      </c>
      <c r="L27" s="314">
        <f t="shared" si="3"/>
        <v>0</v>
      </c>
      <c r="M27" s="904">
        <f t="shared" si="1"/>
        <v>0</v>
      </c>
      <c r="N27" s="904">
        <f t="shared" si="2"/>
        <v>0</v>
      </c>
      <c r="O27" s="336">
        <f>IFERROR(I27/$I$64,0)</f>
        <v>0</v>
      </c>
      <c r="P27" s="353">
        <f>RANK(O27,$O$22:$O$62)+COUNTIF($O$22:O27,O27)-1</f>
        <v>5</v>
      </c>
    </row>
    <row r="28" spans="1:16" ht="13.35" customHeight="1">
      <c r="A28" s="293"/>
      <c r="B28" s="785" t="s">
        <v>186</v>
      </c>
      <c r="C28" s="1982" t="s">
        <v>187</v>
      </c>
      <c r="D28" s="1983"/>
      <c r="E28" s="1983"/>
      <c r="F28" s="1798">
        <f>SUM('I.Stationary Energy'!Q51:Q59)</f>
        <v>0</v>
      </c>
      <c r="G28" s="1796">
        <f>'I.Stationary Energy'!Q74</f>
        <v>0</v>
      </c>
      <c r="H28" s="1791">
        <f>'I.Stationary Energy'!Q82</f>
        <v>0</v>
      </c>
      <c r="I28" s="1797">
        <f>SUM(F28:H28)</f>
        <v>0</v>
      </c>
      <c r="J28" s="348">
        <f t="shared" si="3"/>
        <v>0</v>
      </c>
      <c r="K28" s="314">
        <f t="shared" si="3"/>
        <v>0</v>
      </c>
      <c r="L28" s="314">
        <f t="shared" si="3"/>
        <v>0</v>
      </c>
      <c r="M28" s="904">
        <f t="shared" si="1"/>
        <v>0</v>
      </c>
      <c r="N28" s="904">
        <f t="shared" si="2"/>
        <v>0</v>
      </c>
      <c r="O28" s="336">
        <f>IFERROR(I28/$I$64,0)</f>
        <v>0</v>
      </c>
      <c r="P28" s="353">
        <f>RANK(O28,$O$22:$O$62)+COUNTIF($O$22:O28,O28)-1</f>
        <v>6</v>
      </c>
    </row>
    <row r="29" spans="1:16" ht="13.35" customHeight="1">
      <c r="A29" s="293"/>
      <c r="B29" s="785" t="s">
        <v>188</v>
      </c>
      <c r="C29" s="1982" t="s">
        <v>189</v>
      </c>
      <c r="D29" s="1983"/>
      <c r="E29" s="1983"/>
      <c r="F29" s="1798">
        <f>SUM('I.Stationary Energy'!Q60)</f>
        <v>0</v>
      </c>
      <c r="G29" s="1802"/>
      <c r="H29" s="1804"/>
      <c r="I29" s="1797">
        <f>SUM(F29:H29)</f>
        <v>0</v>
      </c>
      <c r="J29" s="348">
        <f>IFERROR(F29/$I$31,0)</f>
        <v>0</v>
      </c>
      <c r="K29" s="326"/>
      <c r="L29" s="314">
        <f>IFERROR(H29/$I$31,0)</f>
        <v>0</v>
      </c>
      <c r="M29" s="904">
        <f t="shared" si="1"/>
        <v>0</v>
      </c>
      <c r="N29" s="904">
        <f t="shared" si="2"/>
        <v>0</v>
      </c>
      <c r="O29" s="336">
        <f>IFERROR(I29/$I$64,0)</f>
        <v>0</v>
      </c>
      <c r="P29" s="353">
        <f>RANK(O29,$O$22:$O$62)+COUNTIF($O$22:O29,O29)-1</f>
        <v>7</v>
      </c>
    </row>
    <row r="30" spans="1:16">
      <c r="A30" s="293"/>
      <c r="B30" s="785" t="s">
        <v>190</v>
      </c>
      <c r="C30" s="1982" t="s">
        <v>191</v>
      </c>
      <c r="D30" s="1983"/>
      <c r="E30" s="1983"/>
      <c r="F30" s="1798">
        <f>SUM('I.Stationary Energy'!Q61:Q66)</f>
        <v>0</v>
      </c>
      <c r="G30" s="1802"/>
      <c r="H30" s="1804"/>
      <c r="I30" s="1797">
        <f>SUM(F30:H30)</f>
        <v>0</v>
      </c>
      <c r="J30" s="348">
        <f>IFERROR(F30/$I$31,0)</f>
        <v>0</v>
      </c>
      <c r="K30" s="326"/>
      <c r="L30" s="314">
        <f>IFERROR(H30/$I$31,0)</f>
        <v>0</v>
      </c>
      <c r="M30" s="904">
        <f t="shared" si="1"/>
        <v>0</v>
      </c>
      <c r="N30" s="904">
        <f t="shared" si="2"/>
        <v>0</v>
      </c>
      <c r="O30" s="336">
        <f>IFERROR(I30/$I$64,0)</f>
        <v>0</v>
      </c>
      <c r="P30" s="353">
        <f>RANK(O30,$O$22:$O$62)+COUNTIF($O$22:O30,O30)-1</f>
        <v>8</v>
      </c>
    </row>
    <row r="31" spans="1:16">
      <c r="A31" s="293"/>
      <c r="B31" s="786"/>
      <c r="C31" s="357"/>
      <c r="D31" s="357"/>
      <c r="E31" s="357" t="s">
        <v>167</v>
      </c>
      <c r="F31" s="1805">
        <f>SUM(F22:F30)-F26</f>
        <v>0</v>
      </c>
      <c r="G31" s="1806">
        <f t="shared" ref="G31:L31" si="4">SUM(G22:G30)</f>
        <v>0</v>
      </c>
      <c r="H31" s="1806">
        <f t="shared" si="4"/>
        <v>0</v>
      </c>
      <c r="I31" s="1807">
        <f>SUM(I22:I30)</f>
        <v>0</v>
      </c>
      <c r="J31" s="343">
        <f t="shared" si="4"/>
        <v>0</v>
      </c>
      <c r="K31" s="327">
        <f t="shared" si="4"/>
        <v>0</v>
      </c>
      <c r="L31" s="327">
        <f t="shared" si="4"/>
        <v>0</v>
      </c>
      <c r="M31" s="906">
        <f t="shared" si="1"/>
        <v>0</v>
      </c>
      <c r="N31" s="906">
        <f>SUM(N22:N30)</f>
        <v>0</v>
      </c>
      <c r="O31" s="906"/>
      <c r="P31" s="907"/>
    </row>
    <row r="32" spans="1:16">
      <c r="A32" s="293"/>
      <c r="B32" s="787" t="s">
        <v>192</v>
      </c>
      <c r="C32" s="788"/>
      <c r="D32" s="331"/>
      <c r="E32" s="331"/>
      <c r="F32" s="1808"/>
      <c r="G32" s="1809"/>
      <c r="H32" s="1809"/>
      <c r="I32" s="1809"/>
      <c r="J32" s="346"/>
      <c r="K32" s="335"/>
      <c r="L32" s="335"/>
      <c r="M32" s="908"/>
      <c r="N32" s="908"/>
      <c r="O32" s="338"/>
      <c r="P32" s="355"/>
    </row>
    <row r="33" spans="1:16">
      <c r="A33" s="293"/>
      <c r="B33" s="785" t="s">
        <v>193</v>
      </c>
      <c r="C33" s="850" t="s">
        <v>194</v>
      </c>
      <c r="D33" s="851"/>
      <c r="E33" s="851"/>
      <c r="F33" s="1795">
        <f>SUM(II.Transportation!Q10:Q18)</f>
        <v>0</v>
      </c>
      <c r="G33" s="1810">
        <f>II.Transportation!Q33</f>
        <v>0</v>
      </c>
      <c r="H33" s="1791">
        <f>SUM(II.Transportation!Q41:Q49)</f>
        <v>0</v>
      </c>
      <c r="I33" s="1797">
        <f>SUM(F33:H33)</f>
        <v>0</v>
      </c>
      <c r="J33" s="348">
        <f t="shared" ref="J33:M37" si="5">IFERROR(F33/$I$38,0)</f>
        <v>0</v>
      </c>
      <c r="K33" s="314">
        <f t="shared" si="5"/>
        <v>0</v>
      </c>
      <c r="L33" s="314">
        <f t="shared" si="5"/>
        <v>0</v>
      </c>
      <c r="M33" s="904">
        <f t="shared" si="5"/>
        <v>0</v>
      </c>
      <c r="N33" s="904">
        <f>IFERROR(I33/$I$38,0)</f>
        <v>0</v>
      </c>
      <c r="O33" s="336">
        <f>IFERROR(I33/$I$64,0)</f>
        <v>0</v>
      </c>
      <c r="P33" s="353">
        <f>RANK(O33,$O$22:$O$62)+COUNTIF($O$22:O33,O33)-1</f>
        <v>9</v>
      </c>
    </row>
    <row r="34" spans="1:16">
      <c r="A34" s="293"/>
      <c r="B34" s="785" t="s">
        <v>195</v>
      </c>
      <c r="C34" s="850" t="s">
        <v>196</v>
      </c>
      <c r="D34" s="851"/>
      <c r="E34" s="851"/>
      <c r="F34" s="1795">
        <f>SUM(II.Transportation!Q19:Q20)</f>
        <v>0</v>
      </c>
      <c r="G34" s="1810">
        <f>II.Transportation!Q34</f>
        <v>0</v>
      </c>
      <c r="H34" s="1791">
        <f>SUM(II.Transportation!Q50:Q51)</f>
        <v>0</v>
      </c>
      <c r="I34" s="1797">
        <f>SUM(F34:H34)</f>
        <v>0</v>
      </c>
      <c r="J34" s="348">
        <f t="shared" si="5"/>
        <v>0</v>
      </c>
      <c r="K34" s="314">
        <f t="shared" si="5"/>
        <v>0</v>
      </c>
      <c r="L34" s="314">
        <f t="shared" si="5"/>
        <v>0</v>
      </c>
      <c r="M34" s="904">
        <f t="shared" si="5"/>
        <v>0</v>
      </c>
      <c r="N34" s="904">
        <f>IFERROR(I34/$I$38,0)</f>
        <v>0</v>
      </c>
      <c r="O34" s="336">
        <f>IFERROR(I34/$I$64,0)</f>
        <v>0</v>
      </c>
      <c r="P34" s="353">
        <f>RANK(O34,$O$22:$O$62)+COUNTIF($O$22:O34,O34)-1</f>
        <v>10</v>
      </c>
    </row>
    <row r="35" spans="1:16" ht="13.35" customHeight="1">
      <c r="A35" s="293"/>
      <c r="B35" s="785" t="s">
        <v>197</v>
      </c>
      <c r="C35" s="850" t="s">
        <v>198</v>
      </c>
      <c r="D35" s="851"/>
      <c r="E35" s="851"/>
      <c r="F35" s="1795">
        <f>SUM(II.Transportation!Q22:Q25)</f>
        <v>0</v>
      </c>
      <c r="G35" s="1810">
        <f>II.Transportation!Q35</f>
        <v>0</v>
      </c>
      <c r="H35" s="1791">
        <f>SUM(II.Transportation!Q52:Q55)</f>
        <v>0</v>
      </c>
      <c r="I35" s="1797">
        <f>SUM(F35:H35)</f>
        <v>0</v>
      </c>
      <c r="J35" s="348">
        <f t="shared" si="5"/>
        <v>0</v>
      </c>
      <c r="K35" s="314">
        <f t="shared" si="5"/>
        <v>0</v>
      </c>
      <c r="L35" s="314">
        <f t="shared" si="5"/>
        <v>0</v>
      </c>
      <c r="M35" s="904">
        <f t="shared" si="5"/>
        <v>0</v>
      </c>
      <c r="N35" s="904">
        <f>IFERROR(I35/$I$38,0)</f>
        <v>0</v>
      </c>
      <c r="O35" s="336">
        <f>IFERROR(I35/$I$64,0)</f>
        <v>0</v>
      </c>
      <c r="P35" s="353">
        <f>RANK(O35,$O$22:$O$62)+COUNTIF($O$22:O35,O35)-1</f>
        <v>11</v>
      </c>
    </row>
    <row r="36" spans="1:16">
      <c r="A36" s="293"/>
      <c r="B36" s="785" t="s">
        <v>199</v>
      </c>
      <c r="C36" s="850" t="s">
        <v>200</v>
      </c>
      <c r="D36" s="851"/>
      <c r="E36" s="851"/>
      <c r="F36" s="1795">
        <f>II.Transportation!Q26</f>
        <v>0</v>
      </c>
      <c r="G36" s="1810">
        <f>II.Transportation!Q36</f>
        <v>0</v>
      </c>
      <c r="H36" s="1791">
        <f>SUM(II.Transportation!Q56:Q57)+II.Aviation!J74+II.Aviation!T80</f>
        <v>0</v>
      </c>
      <c r="I36" s="1797">
        <f>SUM(F36:H36)</f>
        <v>0</v>
      </c>
      <c r="J36" s="348">
        <f t="shared" si="5"/>
        <v>0</v>
      </c>
      <c r="K36" s="314">
        <f t="shared" si="5"/>
        <v>0</v>
      </c>
      <c r="L36" s="314">
        <f t="shared" si="5"/>
        <v>0</v>
      </c>
      <c r="M36" s="904">
        <f t="shared" si="5"/>
        <v>0</v>
      </c>
      <c r="N36" s="904">
        <f>IFERROR(I36/$I$38,0)</f>
        <v>0</v>
      </c>
      <c r="O36" s="336">
        <f>IFERROR(I36/$I$64,0)</f>
        <v>0</v>
      </c>
      <c r="P36" s="353">
        <f>RANK(O36,$O$22:$O$62)+COUNTIF($O$22:O36,O36)-1</f>
        <v>12</v>
      </c>
    </row>
    <row r="37" spans="1:16">
      <c r="A37" s="293"/>
      <c r="B37" s="785" t="s">
        <v>201</v>
      </c>
      <c r="C37" s="850" t="s">
        <v>202</v>
      </c>
      <c r="D37" s="851"/>
      <c r="E37" s="851"/>
      <c r="F37" s="1795">
        <f>SUM(II.Transportation!Q27:Q30)</f>
        <v>0</v>
      </c>
      <c r="G37" s="1810">
        <f>II.Transportation!Q37</f>
        <v>0</v>
      </c>
      <c r="H37" s="1803"/>
      <c r="I37" s="1797">
        <f>SUM(F37:H37)</f>
        <v>0</v>
      </c>
      <c r="J37" s="348">
        <f t="shared" si="5"/>
        <v>0</v>
      </c>
      <c r="K37" s="314">
        <f t="shared" si="5"/>
        <v>0</v>
      </c>
      <c r="L37" s="314">
        <f t="shared" si="5"/>
        <v>0</v>
      </c>
      <c r="M37" s="904">
        <f t="shared" si="5"/>
        <v>0</v>
      </c>
      <c r="N37" s="904">
        <f>IFERROR(I37/$I$38,0)</f>
        <v>0</v>
      </c>
      <c r="O37" s="336">
        <f>IFERROR(I37/$I$64,0)</f>
        <v>0</v>
      </c>
      <c r="P37" s="353">
        <f>RANK(O37,$O$22:$O$62)+COUNTIF($O$22:O37,O37)-1</f>
        <v>13</v>
      </c>
    </row>
    <row r="38" spans="1:16">
      <c r="A38" s="293"/>
      <c r="B38" s="786"/>
      <c r="C38" s="357"/>
      <c r="D38" s="357"/>
      <c r="E38" s="357" t="s">
        <v>167</v>
      </c>
      <c r="F38" s="1805">
        <f t="shared" ref="F38:N38" si="6">SUM(F33:F37)</f>
        <v>0</v>
      </c>
      <c r="G38" s="1806">
        <f t="shared" si="6"/>
        <v>0</v>
      </c>
      <c r="H38" s="1806">
        <f>SUM(H33:H37)</f>
        <v>0</v>
      </c>
      <c r="I38" s="1807">
        <f t="shared" si="6"/>
        <v>0</v>
      </c>
      <c r="J38" s="343">
        <f t="shared" si="6"/>
        <v>0</v>
      </c>
      <c r="K38" s="327">
        <f t="shared" si="6"/>
        <v>0</v>
      </c>
      <c r="L38" s="327">
        <f t="shared" si="6"/>
        <v>0</v>
      </c>
      <c r="M38" s="906">
        <f>IFERROR(I38/$I$38,0)</f>
        <v>0</v>
      </c>
      <c r="N38" s="906">
        <f t="shared" si="6"/>
        <v>0</v>
      </c>
      <c r="O38" s="906"/>
      <c r="P38" s="907"/>
    </row>
    <row r="39" spans="1:16" ht="13.35" customHeight="1">
      <c r="A39" s="293"/>
      <c r="B39" s="787" t="s">
        <v>203</v>
      </c>
      <c r="C39" s="788"/>
      <c r="D39" s="331"/>
      <c r="E39" s="331"/>
      <c r="F39" s="1808"/>
      <c r="G39" s="1809"/>
      <c r="H39" s="1809"/>
      <c r="I39" s="1809"/>
      <c r="J39" s="346"/>
      <c r="K39" s="335"/>
      <c r="L39" s="335"/>
      <c r="M39" s="908"/>
      <c r="N39" s="908"/>
      <c r="O39" s="338"/>
      <c r="P39" s="355"/>
    </row>
    <row r="40" spans="1:16" ht="13.35" customHeight="1">
      <c r="A40" s="293"/>
      <c r="B40" s="785" t="s">
        <v>204</v>
      </c>
      <c r="C40" s="1982" t="s">
        <v>205</v>
      </c>
      <c r="D40" s="1983"/>
      <c r="E40" s="1983"/>
      <c r="F40" s="1795">
        <f>'III.1 Landfill'!R23+'III.1 Landfill'!R52</f>
        <v>0</v>
      </c>
      <c r="G40" s="1811"/>
      <c r="H40" s="1826"/>
      <c r="I40" s="1797">
        <f>SUM(F40:H40)</f>
        <v>0</v>
      </c>
      <c r="J40" s="348">
        <f>IFERROR(F40/$I$48,0)</f>
        <v>0</v>
      </c>
      <c r="K40" s="328"/>
      <c r="L40" s="314">
        <f>IFERROR(H40/$I$48,0)</f>
        <v>0</v>
      </c>
      <c r="M40" s="904">
        <f>IFERROR(I40/$I$48,0)</f>
        <v>0</v>
      </c>
      <c r="N40" s="904">
        <f>IFERROR(I40/$I$48,0)</f>
        <v>0</v>
      </c>
      <c r="O40" s="336">
        <f>IFERROR(I40/$I$64,0)</f>
        <v>0</v>
      </c>
      <c r="P40" s="353">
        <f>RANK(O40,$O$22:$O$62)+COUNTIF($O$22:O40,O40)-1</f>
        <v>14</v>
      </c>
    </row>
    <row r="41" spans="1:16" ht="13.35" customHeight="1">
      <c r="A41" s="293"/>
      <c r="B41" s="785" t="s">
        <v>206</v>
      </c>
      <c r="C41" s="1982" t="s">
        <v>207</v>
      </c>
      <c r="D41" s="1983"/>
      <c r="E41" s="1983"/>
      <c r="F41" s="1795">
        <f>'III.2 Bio Tretment'!D25+'III.2 Bio Tretment'!J25</f>
        <v>0</v>
      </c>
      <c r="G41" s="1811"/>
      <c r="H41" s="1812">
        <f>'III.2 Bio Tretment'!D47+'III.2 Bio Tretment'!J47</f>
        <v>0</v>
      </c>
      <c r="I41" s="1797">
        <f>SUM(F41:H41)</f>
        <v>0</v>
      </c>
      <c r="J41" s="348">
        <f>IFERROR(F41/$I$48,0)</f>
        <v>0</v>
      </c>
      <c r="K41" s="328"/>
      <c r="L41" s="314">
        <f>IFERROR(H41/$I$48,0)</f>
        <v>0</v>
      </c>
      <c r="M41" s="904">
        <f t="shared" ref="M41:M48" si="7">IFERROR(I41/$I$48,0)</f>
        <v>0</v>
      </c>
      <c r="N41" s="904">
        <f>IFERROR(I41/$I$48,0)</f>
        <v>0</v>
      </c>
      <c r="O41" s="336">
        <f>IFERROR(I41/$I$64,0)</f>
        <v>0</v>
      </c>
      <c r="P41" s="353">
        <f>RANK(O41,$O$22:$O$62)+COUNTIF($O$22:O41,O41)-1</f>
        <v>15</v>
      </c>
    </row>
    <row r="42" spans="1:16" ht="13.35" customHeight="1">
      <c r="A42" s="293"/>
      <c r="B42" s="785" t="s">
        <v>208</v>
      </c>
      <c r="C42" s="1982" t="s">
        <v>209</v>
      </c>
      <c r="D42" s="1983"/>
      <c r="E42" s="1983"/>
      <c r="F42" s="1795">
        <f>'III.3 Burnning'!E26+'III.3 Burnning'!E36+'III.3 Burnning'!E56</f>
        <v>0</v>
      </c>
      <c r="G42" s="1811"/>
      <c r="H42" s="1812">
        <f>'III.3 Burnning'!E78+'III.3 Burnning'!E88+'III.3 Burnning'!E108</f>
        <v>0</v>
      </c>
      <c r="I42" s="1797">
        <f>SUM(F42:H42)</f>
        <v>0</v>
      </c>
      <c r="J42" s="348">
        <f>IFERROR(F42/$I$48,0)</f>
        <v>0</v>
      </c>
      <c r="K42" s="328"/>
      <c r="L42" s="314">
        <f>IFERROR(H42/$I$48,0)</f>
        <v>0</v>
      </c>
      <c r="M42" s="904">
        <f t="shared" si="7"/>
        <v>0</v>
      </c>
      <c r="N42" s="904">
        <f>IFERROR(I42/$I$48,0)</f>
        <v>0</v>
      </c>
      <c r="O42" s="336">
        <f>IFERROR(I42/$I$64,0)</f>
        <v>0</v>
      </c>
      <c r="P42" s="353">
        <f>RANK(O42,$O$22:$O$62)+COUNTIF($O$22:O42,O42)-1</f>
        <v>16</v>
      </c>
    </row>
    <row r="43" spans="1:16">
      <c r="A43" s="293"/>
      <c r="B43" s="785" t="s">
        <v>210</v>
      </c>
      <c r="C43" s="1982" t="s">
        <v>211</v>
      </c>
      <c r="D43" s="1983"/>
      <c r="E43" s="1983"/>
      <c r="F43" s="1795">
        <f>'III.4 Wastewater'!F24+'III.4 Wastewater'!D34+'III.4 Wastewater'!E34+'III.4 Wastewater'!D52+'III.4 Wastewater'!D78+'III.4 Wastewater'!D85</f>
        <v>0</v>
      </c>
      <c r="G43" s="1813"/>
      <c r="H43" s="1827"/>
      <c r="I43" s="1797">
        <f>SUM(F43:H43)</f>
        <v>0</v>
      </c>
      <c r="J43" s="348">
        <f>IFERROR(F43/$I$48,0)</f>
        <v>0</v>
      </c>
      <c r="K43" s="328"/>
      <c r="L43" s="314">
        <f>IFERROR(H43/$I$48,0)</f>
        <v>0</v>
      </c>
      <c r="M43" s="904">
        <f t="shared" si="7"/>
        <v>0</v>
      </c>
      <c r="N43" s="904">
        <f>IFERROR(I43/$I$48,0)</f>
        <v>0</v>
      </c>
      <c r="O43" s="336">
        <f>IFERROR(I43/$I$64,0)</f>
        <v>0</v>
      </c>
      <c r="P43" s="353">
        <f>RANK(O43,$O$22:$O$62)+COUNTIF($O$22:O43,O43)-1</f>
        <v>17</v>
      </c>
    </row>
    <row r="44" spans="1:16">
      <c r="A44" s="293"/>
      <c r="B44" s="785" t="s">
        <v>212</v>
      </c>
      <c r="C44" s="1982" t="s">
        <v>213</v>
      </c>
      <c r="D44" s="1983"/>
      <c r="E44" s="1983"/>
      <c r="F44" s="1799">
        <f>'III.1 Landfill'!R83</f>
        <v>0</v>
      </c>
      <c r="G44" s="1813"/>
      <c r="H44" s="1813"/>
      <c r="I44" s="1801"/>
      <c r="J44" s="350"/>
      <c r="K44" s="328"/>
      <c r="L44" s="328"/>
      <c r="M44" s="909"/>
      <c r="N44" s="909"/>
      <c r="O44" s="337"/>
      <c r="P44" s="354"/>
    </row>
    <row r="45" spans="1:16">
      <c r="A45" s="293"/>
      <c r="B45" s="785" t="s">
        <v>214</v>
      </c>
      <c r="C45" s="1984" t="s">
        <v>215</v>
      </c>
      <c r="D45" s="1985"/>
      <c r="E45" s="1985"/>
      <c r="F45" s="1799">
        <f>'III.2 Bio Tretment'!D69+'III.2 Bio Tretment'!J69</f>
        <v>0</v>
      </c>
      <c r="G45" s="1813"/>
      <c r="H45" s="1813"/>
      <c r="I45" s="1801"/>
      <c r="J45" s="350"/>
      <c r="K45" s="328"/>
      <c r="L45" s="328"/>
      <c r="M45" s="909"/>
      <c r="N45" s="909"/>
      <c r="O45" s="337"/>
      <c r="P45" s="354"/>
    </row>
    <row r="46" spans="1:16">
      <c r="A46" s="293"/>
      <c r="B46" s="785" t="s">
        <v>216</v>
      </c>
      <c r="C46" s="1982" t="s">
        <v>217</v>
      </c>
      <c r="D46" s="1983"/>
      <c r="E46" s="1983"/>
      <c r="F46" s="1799">
        <f>'III.3 Burnning'!E130+'III.3 Burnning'!E140+'III.3 Burnning'!E160</f>
        <v>0</v>
      </c>
      <c r="G46" s="1813"/>
      <c r="H46" s="1813"/>
      <c r="I46" s="1801"/>
      <c r="J46" s="350"/>
      <c r="K46" s="328"/>
      <c r="L46" s="328"/>
      <c r="M46" s="909"/>
      <c r="N46" s="909"/>
      <c r="O46" s="337"/>
      <c r="P46" s="354"/>
    </row>
    <row r="47" spans="1:16">
      <c r="A47" s="293"/>
      <c r="B47" s="785" t="s">
        <v>218</v>
      </c>
      <c r="C47" s="1982" t="s">
        <v>219</v>
      </c>
      <c r="D47" s="1983"/>
      <c r="E47" s="1983"/>
      <c r="F47" s="1828"/>
      <c r="G47" s="1813"/>
      <c r="H47" s="1813"/>
      <c r="I47" s="1801"/>
      <c r="J47" s="350"/>
      <c r="K47" s="328"/>
      <c r="L47" s="328"/>
      <c r="M47" s="909"/>
      <c r="N47" s="909"/>
      <c r="O47" s="337"/>
      <c r="P47" s="354"/>
    </row>
    <row r="48" spans="1:16">
      <c r="A48" s="293"/>
      <c r="B48" s="786"/>
      <c r="C48" s="357"/>
      <c r="D48" s="357"/>
      <c r="E48" s="357" t="s">
        <v>167</v>
      </c>
      <c r="F48" s="1805">
        <f>SUM(F40:F43)</f>
        <v>0</v>
      </c>
      <c r="G48" s="1806"/>
      <c r="H48" s="1806">
        <f>SUM(H40:H43)</f>
        <v>0</v>
      </c>
      <c r="I48" s="1807">
        <f>SUM(I40:I43)</f>
        <v>0</v>
      </c>
      <c r="J48" s="343">
        <f>SUM(J40:J43)</f>
        <v>0</v>
      </c>
      <c r="K48" s="327"/>
      <c r="L48" s="327">
        <f>SUM(L40:L43)</f>
        <v>0</v>
      </c>
      <c r="M48" s="906">
        <f t="shared" si="7"/>
        <v>0</v>
      </c>
      <c r="N48" s="906">
        <f>SUM(N40:N43)</f>
        <v>0</v>
      </c>
      <c r="O48" s="906"/>
      <c r="P48" s="907"/>
    </row>
    <row r="49" spans="1:16">
      <c r="A49" s="293"/>
      <c r="B49" s="787" t="s">
        <v>220</v>
      </c>
      <c r="C49" s="788"/>
      <c r="D49" s="331"/>
      <c r="E49" s="331"/>
      <c r="F49" s="1808"/>
      <c r="G49" s="1809"/>
      <c r="H49" s="1809"/>
      <c r="I49" s="1809"/>
      <c r="J49" s="346"/>
      <c r="K49" s="335"/>
      <c r="L49" s="335"/>
      <c r="M49" s="908"/>
      <c r="N49" s="908"/>
      <c r="O49" s="338"/>
      <c r="P49" s="355"/>
    </row>
    <row r="50" spans="1:16">
      <c r="A50" s="293"/>
      <c r="B50" s="785" t="s">
        <v>221</v>
      </c>
      <c r="C50" s="1982" t="s">
        <v>222</v>
      </c>
      <c r="D50" s="1983"/>
      <c r="E50" s="1983"/>
      <c r="F50" s="1814">
        <f>'IV. IPPU_IP'!I14+'IV. IPPU_IP'!D26+'IV. IPPU_IP'!D35+'IV. IPPU_IP'!K57+'IV. IPPU_IP'!F67+'IV. IPPU_IP'!F75+'IV. IPPU_IP'!G86+'IV. IPPU_IP'!D95+'IV. IPPU_IP'!D96+'IV. IPPU_IP'!I95+'IV. IPPU_IP'!L105+'IV. IPPU_IP'!D117+'IV. IPPU_IP'!C125+'IV. IPPU_IP'!D153+'IV. IPPU_IP'!L135+'IV. IPPU_IP'!E164+'IV. IPPU_IP'!N164+'IV. IPPU_IP'!F175+'IV. IPPU_IP'!P175+'IV. IPPU_IP'!D186+'IV. IPPU_IP'!L186+'IV. IPPU_IP'!D197+'IV. IPPU_IP'!L197+'IV. IPPU_IP'!D208+'IV. IPPU_IP'!L208+'IV. IPPU_IP'!D220+'IV. IPPU_IP'!M218+'IV. IPPU_IP'!D236+'IV. IPPU_IP'!M232+'IV. IPPU_IP'!D245+'IV. IPPU_IP'!M245+'IV. IPPU_IP'!D257+'IV. IPPU_IP'!G269+'IV. IPPU_IP'!O269+'IV. IPPU_IP'!D277+'IV. IPPU_IP'!D278+'IV. IPPU_IP'!D287</f>
        <v>0</v>
      </c>
      <c r="G50" s="1815"/>
      <c r="H50" s="1829"/>
      <c r="I50" s="1797">
        <f>SUM(F50:H50)</f>
        <v>0</v>
      </c>
      <c r="J50" s="348">
        <f>IFERROR(F50/$I$52,0)</f>
        <v>0</v>
      </c>
      <c r="K50" s="329"/>
      <c r="L50" s="314">
        <f>IFERROR(H50/$I$52,0)</f>
        <v>0</v>
      </c>
      <c r="M50" s="904">
        <f>IFERROR(I50/$I$52,0)</f>
        <v>0</v>
      </c>
      <c r="N50" s="904">
        <f>IFERROR(I50/$I$52,0)</f>
        <v>0</v>
      </c>
      <c r="O50" s="336">
        <f>IFERROR(I50/$I$64,0)</f>
        <v>0</v>
      </c>
      <c r="P50" s="353">
        <f>RANK(O50,$O$22:$O$62)+COUNTIF($O$22:O50,O50)-1</f>
        <v>18</v>
      </c>
    </row>
    <row r="51" spans="1:16">
      <c r="A51" s="293"/>
      <c r="B51" s="785" t="s">
        <v>223</v>
      </c>
      <c r="C51" s="1982" t="s">
        <v>224</v>
      </c>
      <c r="D51" s="1983"/>
      <c r="E51" s="1983"/>
      <c r="F51" s="1814">
        <f>'IV. IPPU_PU'!D14+'IV. IPPU_PU'!D22</f>
        <v>0</v>
      </c>
      <c r="G51" s="1815"/>
      <c r="H51" s="1829"/>
      <c r="I51" s="1797">
        <f>SUM(F51:H51)</f>
        <v>0</v>
      </c>
      <c r="J51" s="348">
        <f>IFERROR(F51/$I$52,0)</f>
        <v>0</v>
      </c>
      <c r="K51" s="329"/>
      <c r="L51" s="314">
        <f>IFERROR(H51/$I$52,0)</f>
        <v>0</v>
      </c>
      <c r="M51" s="904">
        <f>IFERROR(I51/$I$52,0)</f>
        <v>0</v>
      </c>
      <c r="N51" s="904">
        <f>IFERROR(I51/$I$52,0)</f>
        <v>0</v>
      </c>
      <c r="O51" s="336">
        <f>IFERROR(I51/$I$64,0)</f>
        <v>0</v>
      </c>
      <c r="P51" s="353">
        <f>RANK(O51,$O$22:$O$62)+COUNTIF($O$22:O51,O51)-1</f>
        <v>19</v>
      </c>
    </row>
    <row r="52" spans="1:16">
      <c r="A52" s="293"/>
      <c r="B52" s="786"/>
      <c r="C52" s="357"/>
      <c r="D52" s="357"/>
      <c r="E52" s="357" t="s">
        <v>167</v>
      </c>
      <c r="F52" s="1805">
        <f>SUM(F50:F51)</f>
        <v>0</v>
      </c>
      <c r="G52" s="1816"/>
      <c r="H52" s="1806">
        <f>SUM(H50:H51)</f>
        <v>0</v>
      </c>
      <c r="I52" s="1817">
        <f>SUM(I50:I51)</f>
        <v>0</v>
      </c>
      <c r="J52" s="343">
        <f>SUM(J50:J51)</f>
        <v>0</v>
      </c>
      <c r="K52" s="330"/>
      <c r="L52" s="327">
        <f>SUM(L50:L51)</f>
        <v>0</v>
      </c>
      <c r="M52" s="906">
        <f>IFERROR(I52/$I$52,0)</f>
        <v>0</v>
      </c>
      <c r="N52" s="906">
        <f>SUM(N50:N51)</f>
        <v>0</v>
      </c>
      <c r="O52" s="906"/>
      <c r="P52" s="907"/>
    </row>
    <row r="53" spans="1:16">
      <c r="A53" s="293"/>
      <c r="B53" s="787" t="s">
        <v>225</v>
      </c>
      <c r="C53" s="788"/>
      <c r="D53" s="331"/>
      <c r="E53" s="331"/>
      <c r="F53" s="1808"/>
      <c r="G53" s="1809"/>
      <c r="H53" s="1809"/>
      <c r="I53" s="1809"/>
      <c r="J53" s="346"/>
      <c r="K53" s="335"/>
      <c r="L53" s="335"/>
      <c r="M53" s="908"/>
      <c r="N53" s="908"/>
      <c r="O53" s="338"/>
      <c r="P53" s="355"/>
    </row>
    <row r="54" spans="1:16">
      <c r="A54" s="293"/>
      <c r="B54" s="1330" t="s">
        <v>226</v>
      </c>
      <c r="C54" s="1997" t="s">
        <v>227</v>
      </c>
      <c r="D54" s="1998"/>
      <c r="E54" s="1998"/>
      <c r="F54" s="1818">
        <f>SUM('V.1 Livestock'!O11:O27)+SUM('V.1 Livestock'!O32:O48)</f>
        <v>0</v>
      </c>
      <c r="G54" s="1815"/>
      <c r="H54" s="1829"/>
      <c r="I54" s="1819">
        <f t="shared" ref="I54:I61" si="8">SUM(F54:H54)</f>
        <v>0</v>
      </c>
      <c r="J54" s="348">
        <f>IFERROR(F54/$I$62,0)</f>
        <v>0</v>
      </c>
      <c r="K54" s="329"/>
      <c r="L54" s="314">
        <f>IFERROR(H54/$I$62,0)</f>
        <v>0</v>
      </c>
      <c r="M54" s="904">
        <f>IFERROR(I54/$I$62,0)</f>
        <v>0</v>
      </c>
      <c r="N54" s="904">
        <f>IFERROR(I54/$I$62,0)</f>
        <v>0</v>
      </c>
      <c r="O54" s="336">
        <f>IFERROR(I54/$I$64,0)</f>
        <v>0</v>
      </c>
      <c r="P54" s="353">
        <f>RANK(O54,$O$22:$O$62)+COUNTIF($O$22:O54,O54)-1</f>
        <v>20</v>
      </c>
    </row>
    <row r="55" spans="1:16">
      <c r="A55" s="293"/>
      <c r="B55" s="1330" t="s">
        <v>228</v>
      </c>
      <c r="C55" s="1997" t="s">
        <v>229</v>
      </c>
      <c r="D55" s="1998"/>
      <c r="E55" s="1998"/>
      <c r="F55" s="1818">
        <f>'V.2 Land use_FL'!L23+'V.2 Land use_FL'!L24+'V.2 Land use_CL'!L23</f>
        <v>0</v>
      </c>
      <c r="G55" s="1815"/>
      <c r="H55" s="1829"/>
      <c r="I55" s="1819">
        <f t="shared" si="8"/>
        <v>0</v>
      </c>
      <c r="J55" s="348">
        <f>IFERROR(F55/$I$62,0)</f>
        <v>0</v>
      </c>
      <c r="K55" s="329"/>
      <c r="L55" s="314">
        <f>IFERROR(H55/$I$62,0)</f>
        <v>0</v>
      </c>
      <c r="M55" s="904">
        <f t="shared" ref="M55:M62" si="9">IFERROR(I55/$I$62,0)</f>
        <v>0</v>
      </c>
      <c r="N55" s="904">
        <f>IFERROR(I55/$I$62,0)</f>
        <v>0</v>
      </c>
      <c r="O55" s="336">
        <f>IFERROR(I55/$I$64,0)</f>
        <v>0</v>
      </c>
      <c r="P55" s="353">
        <f>RANK(O55,$O$22:$O$62)+COUNTIF($O$22:O55,O55)-1</f>
        <v>21</v>
      </c>
    </row>
    <row r="56" spans="1:16">
      <c r="A56" s="293"/>
      <c r="B56" s="1331" t="s">
        <v>230</v>
      </c>
      <c r="C56" s="1998" t="s">
        <v>231</v>
      </c>
      <c r="D56" s="1998"/>
      <c r="E56" s="1998"/>
      <c r="F56" s="1818">
        <f>SUM(F57:F61)</f>
        <v>0</v>
      </c>
      <c r="G56" s="1815"/>
      <c r="H56" s="1820"/>
      <c r="I56" s="1819">
        <f t="shared" si="8"/>
        <v>0</v>
      </c>
      <c r="J56" s="350"/>
      <c r="K56" s="329"/>
      <c r="L56" s="328"/>
      <c r="M56" s="905"/>
      <c r="N56" s="905"/>
      <c r="O56" s="337"/>
      <c r="P56" s="354"/>
    </row>
    <row r="57" spans="1:16">
      <c r="A57" s="293"/>
      <c r="B57" s="1329" t="s">
        <v>2265</v>
      </c>
      <c r="C57" s="851" t="s">
        <v>232</v>
      </c>
      <c r="D57" s="851"/>
      <c r="E57" s="851"/>
      <c r="F57" s="1821">
        <f>'V.3 Biomass Burning'!O29+'V.3 Biomass Burning'!O62</f>
        <v>0</v>
      </c>
      <c r="G57" s="1815"/>
      <c r="H57" s="1830"/>
      <c r="I57" s="1819">
        <f t="shared" si="8"/>
        <v>0</v>
      </c>
      <c r="J57" s="348">
        <f>IFERROR(F57/$I$62,0)</f>
        <v>0</v>
      </c>
      <c r="K57" s="329"/>
      <c r="L57" s="329"/>
      <c r="M57" s="904">
        <f t="shared" si="9"/>
        <v>0</v>
      </c>
      <c r="N57" s="904">
        <f>IFERROR(I57/$I$62,0)</f>
        <v>0</v>
      </c>
      <c r="O57" s="336">
        <f>IFERROR(I57/$I$64,0)</f>
        <v>0</v>
      </c>
      <c r="P57" s="353">
        <f>RANK(O57,$O$22:$O$62)+COUNTIF($O$22:O57,O57)-1</f>
        <v>22</v>
      </c>
    </row>
    <row r="58" spans="1:16">
      <c r="A58" s="293"/>
      <c r="B58" s="1329" t="s">
        <v>2266</v>
      </c>
      <c r="C58" s="851" t="s">
        <v>233</v>
      </c>
      <c r="D58" s="851"/>
      <c r="E58" s="851"/>
      <c r="F58" s="1821">
        <f>SUM('V.3 Rice cultivation'!H11:H23)</f>
        <v>0</v>
      </c>
      <c r="G58" s="1815"/>
      <c r="H58" s="1830"/>
      <c r="I58" s="1819">
        <f t="shared" si="8"/>
        <v>0</v>
      </c>
      <c r="J58" s="348">
        <f t="shared" ref="J58:J61" si="10">IFERROR(F58/$I$62,0)</f>
        <v>0</v>
      </c>
      <c r="K58" s="329"/>
      <c r="L58" s="329"/>
      <c r="M58" s="904">
        <f t="shared" si="9"/>
        <v>0</v>
      </c>
      <c r="N58" s="904">
        <f>IFERROR(I58/$I$62,0)</f>
        <v>0</v>
      </c>
      <c r="O58" s="336">
        <f>IFERROR(I58/$I$64,0)</f>
        <v>0</v>
      </c>
      <c r="P58" s="353">
        <f>RANK(O58,$O$22:$O$62)+COUNTIF($O$22:O58,O58)-1</f>
        <v>23</v>
      </c>
    </row>
    <row r="59" spans="1:16">
      <c r="A59" s="293"/>
      <c r="B59" s="1329" t="s">
        <v>2267</v>
      </c>
      <c r="C59" s="851" t="s">
        <v>2262</v>
      </c>
      <c r="D59" s="851"/>
      <c r="E59" s="851"/>
      <c r="F59" s="1821">
        <f>'V.3 Liming'!H16</f>
        <v>0</v>
      </c>
      <c r="G59" s="1815"/>
      <c r="H59" s="1830"/>
      <c r="I59" s="1819">
        <f t="shared" si="8"/>
        <v>0</v>
      </c>
      <c r="J59" s="348">
        <f t="shared" si="10"/>
        <v>0</v>
      </c>
      <c r="K59" s="329"/>
      <c r="L59" s="329"/>
      <c r="M59" s="904">
        <f>IFERROR(I59/$I$62,0)</f>
        <v>0</v>
      </c>
      <c r="N59" s="904">
        <f>IFERROR(I59/$I$62,0)</f>
        <v>0</v>
      </c>
      <c r="O59" s="336">
        <f>IFERROR(I59/$I$64,0)</f>
        <v>0</v>
      </c>
      <c r="P59" s="353">
        <f>RANK(O59,$O$22:$O$62)+COUNTIF($O$22:O59,O59)-1</f>
        <v>24</v>
      </c>
    </row>
    <row r="60" spans="1:16">
      <c r="A60" s="293"/>
      <c r="B60" s="1329" t="s">
        <v>2268</v>
      </c>
      <c r="C60" s="851" t="s">
        <v>2263</v>
      </c>
      <c r="D60" s="851"/>
      <c r="E60" s="851"/>
      <c r="F60" s="1821">
        <f>'V.3 Urea'!F18</f>
        <v>0</v>
      </c>
      <c r="G60" s="1815"/>
      <c r="H60" s="1830"/>
      <c r="I60" s="1819">
        <f t="shared" si="8"/>
        <v>0</v>
      </c>
      <c r="J60" s="348">
        <f>IFERROR(F60/$I$62,0)</f>
        <v>0</v>
      </c>
      <c r="K60" s="329"/>
      <c r="L60" s="329"/>
      <c r="M60" s="904">
        <f>IFERROR(I60/$I$62,0)</f>
        <v>0</v>
      </c>
      <c r="N60" s="904">
        <f>IFERROR(I60/$I$62,0)</f>
        <v>0</v>
      </c>
      <c r="O60" s="336">
        <f>IFERROR(I60/$I$64,0)</f>
        <v>0</v>
      </c>
      <c r="P60" s="353">
        <f>RANK(O60,$O$22:$O$62)+COUNTIF($O$22:O60,O60)-1</f>
        <v>25</v>
      </c>
    </row>
    <row r="61" spans="1:16">
      <c r="A61" s="293"/>
      <c r="B61" s="1329" t="s">
        <v>2269</v>
      </c>
      <c r="C61" s="851" t="s">
        <v>2264</v>
      </c>
      <c r="D61" s="851"/>
      <c r="E61" s="851"/>
      <c r="F61" s="1822">
        <f>'V.3 Managed Soils'!I23+'V.3 Managed Soils'!K30+'V.3 Managed Soils'!J48+'V.3 Managed Soils'!K60</f>
        <v>0</v>
      </c>
      <c r="G61" s="1815"/>
      <c r="H61" s="1830"/>
      <c r="I61" s="1819">
        <f t="shared" si="8"/>
        <v>0</v>
      </c>
      <c r="J61" s="348">
        <f t="shared" si="10"/>
        <v>0</v>
      </c>
      <c r="K61" s="329"/>
      <c r="L61" s="329"/>
      <c r="M61" s="904">
        <f>IFERROR(I61/$I$62,0)</f>
        <v>0</v>
      </c>
      <c r="N61" s="904">
        <f>IFERROR(I61/$I$62,0)</f>
        <v>0</v>
      </c>
      <c r="O61" s="336">
        <f>IFERROR(I61/$I$64,0)</f>
        <v>0</v>
      </c>
      <c r="P61" s="353">
        <f>RANK(O61,$O$22:$O$62)+COUNTIF($O$22:O61,O61)-1</f>
        <v>26</v>
      </c>
    </row>
    <row r="62" spans="1:16">
      <c r="A62" s="293"/>
      <c r="B62" s="786"/>
      <c r="C62" s="357"/>
      <c r="D62" s="357"/>
      <c r="E62" s="357" t="s">
        <v>167</v>
      </c>
      <c r="F62" s="1805">
        <f>SUM(F54:F56)</f>
        <v>0</v>
      </c>
      <c r="G62" s="1806"/>
      <c r="H62" s="1806">
        <f>SUM(H54:H56)</f>
        <v>0</v>
      </c>
      <c r="I62" s="1807">
        <f>SUM(I54:I56)</f>
        <v>0</v>
      </c>
      <c r="J62" s="343">
        <f>SUM(J54:J61)</f>
        <v>0</v>
      </c>
      <c r="K62" s="327"/>
      <c r="L62" s="327">
        <f>SUM(L54:L56)</f>
        <v>0</v>
      </c>
      <c r="M62" s="906">
        <f t="shared" si="9"/>
        <v>0</v>
      </c>
      <c r="N62" s="906">
        <f>SUM(N54:N58)</f>
        <v>0</v>
      </c>
      <c r="O62" s="906"/>
      <c r="P62" s="907"/>
    </row>
    <row r="63" spans="1:16">
      <c r="A63" s="293"/>
      <c r="B63" s="787" t="s">
        <v>234</v>
      </c>
      <c r="C63" s="788"/>
      <c r="D63" s="331"/>
      <c r="E63" s="331"/>
      <c r="F63" s="1808"/>
      <c r="G63" s="1809"/>
      <c r="H63" s="1809"/>
      <c r="I63" s="1809"/>
      <c r="J63" s="346"/>
      <c r="K63" s="335"/>
      <c r="L63" s="335"/>
      <c r="M63" s="347"/>
      <c r="N63" s="908"/>
      <c r="O63" s="338"/>
      <c r="P63" s="355"/>
    </row>
    <row r="64" spans="1:16" ht="13.8" thickBot="1">
      <c r="A64" s="293"/>
      <c r="B64" s="1999" t="s">
        <v>235</v>
      </c>
      <c r="C64" s="2000"/>
      <c r="D64" s="2000"/>
      <c r="E64" s="2000"/>
      <c r="F64" s="1823">
        <f>F31+F38+F48+F52+F62</f>
        <v>0</v>
      </c>
      <c r="G64" s="1824">
        <f>G31+G38+G48+G52+G62</f>
        <v>0</v>
      </c>
      <c r="H64" s="1824">
        <f>H31+H38+H48+H52+H62</f>
        <v>0</v>
      </c>
      <c r="I64" s="1825">
        <f>I62+I48+I38+I52+I31</f>
        <v>0</v>
      </c>
      <c r="J64" s="351">
        <f>J31+J38+J48+J52+J62</f>
        <v>0</v>
      </c>
      <c r="K64" s="910">
        <f>K31+K38+K48+K52+K62</f>
        <v>0</v>
      </c>
      <c r="L64" s="910">
        <f>L31+L38+L48+L52+L62</f>
        <v>0</v>
      </c>
      <c r="M64" s="911">
        <f>M62+M48+M38+M31</f>
        <v>0</v>
      </c>
      <c r="N64" s="912">
        <f>N62+N48+N38+N52+N31</f>
        <v>0</v>
      </c>
      <c r="O64" s="912">
        <f>SUM(O22:O63)</f>
        <v>0</v>
      </c>
      <c r="P64" s="356"/>
    </row>
    <row r="65" spans="1:22">
      <c r="A65" s="293"/>
      <c r="B65" s="296"/>
      <c r="C65" s="296"/>
      <c r="D65" s="296"/>
      <c r="E65" s="296"/>
      <c r="F65" s="939"/>
      <c r="G65" s="296"/>
      <c r="H65" s="296"/>
      <c r="I65" s="296"/>
      <c r="J65" s="296"/>
      <c r="K65" s="296"/>
      <c r="L65" s="296"/>
      <c r="M65" s="296"/>
      <c r="N65" s="296"/>
      <c r="O65" s="296"/>
    </row>
    <row r="66" spans="1:22">
      <c r="A66" s="293"/>
      <c r="B66" s="296"/>
      <c r="C66" s="296"/>
      <c r="D66" s="296"/>
      <c r="E66" s="296"/>
      <c r="F66" s="296"/>
      <c r="G66" s="296"/>
      <c r="H66" s="296"/>
      <c r="I66" s="296"/>
      <c r="J66" s="296"/>
      <c r="K66" s="296"/>
      <c r="L66" s="296"/>
      <c r="M66" s="296"/>
      <c r="N66" s="296"/>
      <c r="O66" s="296"/>
    </row>
    <row r="67" spans="1:22">
      <c r="A67" s="293"/>
      <c r="B67" s="296"/>
      <c r="C67" s="296"/>
      <c r="D67" s="296"/>
      <c r="E67" s="296"/>
      <c r="F67" s="296"/>
      <c r="G67" s="296"/>
      <c r="H67" s="296"/>
      <c r="I67" s="296"/>
      <c r="J67" s="296"/>
      <c r="K67" s="296"/>
      <c r="L67" s="296"/>
      <c r="M67" s="296"/>
      <c r="N67" s="296"/>
      <c r="O67" s="296"/>
    </row>
    <row r="68" spans="1:22">
      <c r="A68" s="293"/>
      <c r="B68" s="296"/>
      <c r="C68" s="296"/>
      <c r="D68" s="296"/>
      <c r="E68" s="296"/>
      <c r="F68" s="296"/>
      <c r="G68" s="296"/>
      <c r="H68" s="296"/>
      <c r="I68" s="296"/>
      <c r="J68" s="296"/>
      <c r="K68" s="296"/>
      <c r="L68" s="296"/>
      <c r="M68" s="296"/>
      <c r="N68" s="296"/>
      <c r="O68" s="296"/>
      <c r="R68" s="1297"/>
      <c r="S68" s="1297"/>
      <c r="T68" s="1298"/>
      <c r="U68" s="1298"/>
      <c r="V68" s="1297"/>
    </row>
    <row r="69" spans="1:22">
      <c r="A69" s="293"/>
    </row>
    <row r="70" spans="1:22">
      <c r="A70" s="293"/>
    </row>
    <row r="71" spans="1:22">
      <c r="A71" s="293"/>
    </row>
    <row r="72" spans="1:22">
      <c r="A72" s="293"/>
    </row>
    <row r="73" spans="1:22">
      <c r="A73" s="293"/>
    </row>
    <row r="74" spans="1:22">
      <c r="A74" s="293"/>
    </row>
    <row r="75" spans="1:22">
      <c r="A75" s="293"/>
    </row>
    <row r="76" spans="1:22">
      <c r="A76" s="293"/>
    </row>
    <row r="77" spans="1:22">
      <c r="A77" s="293"/>
    </row>
    <row r="78" spans="1:22">
      <c r="A78" s="293"/>
    </row>
    <row r="79" spans="1:22">
      <c r="A79" s="293"/>
    </row>
    <row r="80" spans="1:22">
      <c r="A80" s="293"/>
    </row>
    <row r="81" spans="1:1">
      <c r="A81" s="293"/>
    </row>
    <row r="82" spans="1:1">
      <c r="A82" s="293"/>
    </row>
    <row r="83" spans="1:1">
      <c r="A83" s="293"/>
    </row>
    <row r="84" spans="1:1">
      <c r="A84" s="293"/>
    </row>
    <row r="85" spans="1:1">
      <c r="A85" s="293"/>
    </row>
    <row r="86" spans="1:1">
      <c r="A86" s="293"/>
    </row>
    <row r="87" spans="1:1">
      <c r="A87" s="293"/>
    </row>
    <row r="88" spans="1:1">
      <c r="A88" s="293"/>
    </row>
    <row r="89" spans="1:1">
      <c r="A89" s="293"/>
    </row>
    <row r="90" spans="1:1">
      <c r="A90" s="293"/>
    </row>
    <row r="91" spans="1:1">
      <c r="A91" s="293"/>
    </row>
    <row r="92" spans="1:1">
      <c r="A92" s="293"/>
    </row>
    <row r="93" spans="1:1">
      <c r="A93" s="293"/>
    </row>
    <row r="94" spans="1:1">
      <c r="A94" s="293"/>
    </row>
    <row r="95" spans="1:1">
      <c r="A95" s="293"/>
    </row>
    <row r="96" spans="1:1">
      <c r="A96" s="293"/>
    </row>
    <row r="97" spans="1:16">
      <c r="A97" s="293"/>
    </row>
    <row r="98" spans="1:16">
      <c r="A98" s="293"/>
    </row>
    <row r="99" spans="1:16">
      <c r="A99" s="293"/>
    </row>
    <row r="100" spans="1:16">
      <c r="A100" s="293"/>
    </row>
    <row r="101" spans="1:16">
      <c r="A101" s="293"/>
    </row>
    <row r="102" spans="1:16">
      <c r="A102" s="293"/>
    </row>
    <row r="103" spans="1:16">
      <c r="A103" s="293"/>
    </row>
    <row r="104" spans="1:16">
      <c r="A104" s="293"/>
    </row>
    <row r="105" spans="1:16" ht="13.95" customHeight="1">
      <c r="A105" s="293"/>
    </row>
    <row r="106" spans="1:16" ht="13.8">
      <c r="A106" s="293"/>
      <c r="P106" s="1049"/>
    </row>
    <row r="107" spans="1:16">
      <c r="A107" s="293"/>
    </row>
    <row r="108" spans="1:16">
      <c r="A108" s="293"/>
    </row>
    <row r="109" spans="1:16">
      <c r="A109" s="293"/>
    </row>
    <row r="110" spans="1:16">
      <c r="A110" s="293"/>
    </row>
    <row r="111" spans="1:16">
      <c r="A111" s="293"/>
    </row>
    <row r="112" spans="1:16">
      <c r="A112" s="293"/>
    </row>
    <row r="113" spans="1:9">
      <c r="A113" s="293"/>
    </row>
    <row r="114" spans="1:9">
      <c r="A114" s="293"/>
    </row>
    <row r="115" spans="1:9">
      <c r="A115" s="293"/>
    </row>
    <row r="116" spans="1:9">
      <c r="A116" s="293"/>
    </row>
    <row r="117" spans="1:9">
      <c r="A117" s="293"/>
    </row>
    <row r="118" spans="1:9">
      <c r="A118" s="293"/>
    </row>
    <row r="119" spans="1:9">
      <c r="A119" s="293"/>
    </row>
    <row r="120" spans="1:9">
      <c r="A120" s="293"/>
    </row>
    <row r="121" spans="1:9">
      <c r="A121" s="293"/>
    </row>
    <row r="122" spans="1:9">
      <c r="A122" s="293"/>
    </row>
    <row r="123" spans="1:9">
      <c r="A123" s="293"/>
    </row>
    <row r="124" spans="1:9">
      <c r="A124" s="293"/>
    </row>
    <row r="125" spans="1:9">
      <c r="A125" s="293"/>
    </row>
    <row r="126" spans="1:9">
      <c r="A126" s="293"/>
    </row>
    <row r="127" spans="1:9">
      <c r="A127" s="293"/>
    </row>
    <row r="128" spans="1:9" ht="13.8" thickBot="1">
      <c r="A128" s="293"/>
      <c r="B128" s="293"/>
      <c r="C128" s="293"/>
      <c r="D128" s="293"/>
      <c r="E128" s="293"/>
      <c r="F128" s="293"/>
      <c r="G128" s="296"/>
      <c r="H128" s="296"/>
      <c r="I128" s="293"/>
    </row>
    <row r="129" spans="1:15" ht="14.1" customHeight="1">
      <c r="A129" s="293"/>
      <c r="B129" s="1964" t="s">
        <v>236</v>
      </c>
      <c r="C129" s="1965"/>
      <c r="D129" s="1968" t="s">
        <v>237</v>
      </c>
      <c r="E129" s="1970" t="s">
        <v>173</v>
      </c>
      <c r="F129" s="1972" t="s">
        <v>170</v>
      </c>
      <c r="G129" s="296"/>
      <c r="H129" s="296"/>
      <c r="I129" s="296"/>
      <c r="J129" s="296"/>
      <c r="K129" s="296"/>
      <c r="L129" s="296"/>
      <c r="M129" s="296"/>
      <c r="N129" s="296"/>
      <c r="O129" s="296"/>
    </row>
    <row r="130" spans="1:15">
      <c r="A130" s="293"/>
      <c r="B130" s="1966"/>
      <c r="C130" s="1967"/>
      <c r="D130" s="1969"/>
      <c r="E130" s="1971"/>
      <c r="F130" s="1973"/>
      <c r="G130" s="847">
        <f>SUM(E131:E158)</f>
        <v>0</v>
      </c>
      <c r="H130" s="296"/>
      <c r="I130" s="296"/>
      <c r="J130" s="296"/>
      <c r="K130" s="296"/>
      <c r="L130" s="296"/>
      <c r="M130" s="296"/>
      <c r="N130" s="296"/>
      <c r="O130" s="296"/>
    </row>
    <row r="131" spans="1:15">
      <c r="A131" s="293"/>
      <c r="B131" s="579" t="str">
        <f t="shared" ref="B131:B158" si="11">IFERROR(INDEX($B$21:$P$64,MATCH($F131,$P$21:$P$64,0),1),0)</f>
        <v>I.1</v>
      </c>
      <c r="C131" s="358" t="str">
        <f t="shared" ref="C131:C158" si="12">IFERROR(INDEX($B$21:$P$64,MATCH($F131,$P$21:$P$64,0),2),0)</f>
        <v>พลังงานในที่พักอาศัย</v>
      </c>
      <c r="D131" s="580">
        <f t="shared" ref="D131:D158" si="13">IFERROR(INDEX($B$21:$P$64,MATCH($F131,$P$21:$P$64,0),8),0)</f>
        <v>0</v>
      </c>
      <c r="E131" s="616">
        <f>IFERROR(INDEX($B$21:$P$64,MATCH($F131,$P$21:$P$64,0),14),0)</f>
        <v>0</v>
      </c>
      <c r="F131" s="913">
        <v>1</v>
      </c>
      <c r="G131" s="296"/>
      <c r="H131" s="296"/>
      <c r="I131" s="296"/>
      <c r="J131" s="296"/>
      <c r="K131" s="296"/>
      <c r="L131" s="296"/>
      <c r="M131" s="296"/>
      <c r="N131" s="296"/>
      <c r="O131" s="296"/>
    </row>
    <row r="132" spans="1:15">
      <c r="A132" s="293"/>
      <c r="B132" s="579" t="str">
        <f t="shared" si="11"/>
        <v>I.2</v>
      </c>
      <c r="C132" s="358" t="str">
        <f t="shared" si="12"/>
        <v>พลังงานในธุรกิจการค้าและหน่วยงานรัฐ</v>
      </c>
      <c r="D132" s="580">
        <f t="shared" si="13"/>
        <v>0</v>
      </c>
      <c r="E132" s="616">
        <f>IFERROR(INDEX($B$21:$P$64,MATCH($F132,$P$21:$P$64,0),14),0)</f>
        <v>0</v>
      </c>
      <c r="F132" s="913">
        <v>2</v>
      </c>
      <c r="G132" s="296"/>
      <c r="H132" s="296"/>
      <c r="I132" s="296"/>
      <c r="J132" s="296"/>
      <c r="K132" s="296"/>
      <c r="L132" s="296"/>
      <c r="M132" s="296"/>
      <c r="N132" s="296"/>
      <c r="O132" s="296"/>
    </row>
    <row r="133" spans="1:15">
      <c r="A133" s="293"/>
      <c r="B133" s="579" t="str">
        <f t="shared" si="11"/>
        <v>I.3</v>
      </c>
      <c r="C133" s="358" t="str">
        <f t="shared" si="12"/>
        <v xml:space="preserve">พลังงานในอุตสาหกรรมและการก่อสร้าง </v>
      </c>
      <c r="D133" s="580">
        <f>IFERROR(INDEX($B$21:$P$64,MATCH($F133,$P$21:$P$64,0),8),0)</f>
        <v>0</v>
      </c>
      <c r="E133" s="616">
        <f t="shared" ref="E133:E158" si="14">IFERROR(INDEX($B$21:$P$64,MATCH($F133,$P$21:$P$64,0),14),0)</f>
        <v>0</v>
      </c>
      <c r="F133" s="913">
        <v>3</v>
      </c>
      <c r="G133" s="296"/>
      <c r="H133" s="296"/>
      <c r="I133" s="296"/>
      <c r="J133" s="296"/>
      <c r="K133" s="296"/>
      <c r="L133" s="296"/>
      <c r="M133" s="296"/>
      <c r="N133" s="296"/>
      <c r="O133" s="296"/>
    </row>
    <row r="134" spans="1:15">
      <c r="A134" s="293"/>
      <c r="B134" s="579" t="str">
        <f t="shared" si="11"/>
        <v>I.4.1/2/3</v>
      </c>
      <c r="C134" s="358" t="str">
        <f t="shared" si="12"/>
        <v>พลังงานในการผลิตพลังงาน</v>
      </c>
      <c r="D134" s="580">
        <f t="shared" si="13"/>
        <v>0</v>
      </c>
      <c r="E134" s="616">
        <f t="shared" si="14"/>
        <v>0</v>
      </c>
      <c r="F134" s="913">
        <v>4</v>
      </c>
      <c r="G134" s="296"/>
      <c r="H134" s="296"/>
      <c r="I134" s="296"/>
      <c r="J134" s="296"/>
      <c r="K134" s="296"/>
      <c r="L134" s="296"/>
      <c r="M134" s="296"/>
      <c r="N134" s="296"/>
      <c r="O134" s="296"/>
    </row>
    <row r="135" spans="1:15">
      <c r="A135" s="293"/>
      <c r="B135" s="579" t="str">
        <f t="shared" si="11"/>
        <v>I.5</v>
      </c>
      <c r="C135" s="358" t="str">
        <f t="shared" si="12"/>
        <v>พลังงานในการเกษตร ป่าไม้ และประมง</v>
      </c>
      <c r="D135" s="580">
        <f t="shared" si="13"/>
        <v>0</v>
      </c>
      <c r="E135" s="616">
        <f t="shared" si="14"/>
        <v>0</v>
      </c>
      <c r="F135" s="913">
        <v>5</v>
      </c>
      <c r="G135" s="296"/>
      <c r="H135" s="296"/>
      <c r="I135" s="296"/>
      <c r="J135" s="296"/>
      <c r="K135" s="296"/>
      <c r="L135" s="296"/>
      <c r="M135" s="296"/>
      <c r="N135" s="296"/>
      <c r="O135" s="296"/>
    </row>
    <row r="136" spans="1:15" ht="13.35" customHeight="1">
      <c r="A136" s="293"/>
      <c r="B136" s="579" t="str">
        <f t="shared" si="11"/>
        <v>I.6</v>
      </c>
      <c r="C136" s="358" t="str">
        <f t="shared" si="12"/>
        <v>พลังงานในแหล่งที่ไม่สามารถระบุได้</v>
      </c>
      <c r="D136" s="580">
        <f t="shared" si="13"/>
        <v>0</v>
      </c>
      <c r="E136" s="616">
        <f t="shared" si="14"/>
        <v>0</v>
      </c>
      <c r="F136" s="913">
        <v>6</v>
      </c>
      <c r="G136" s="296"/>
      <c r="H136" s="296"/>
      <c r="I136" s="296"/>
      <c r="J136" s="296"/>
      <c r="K136" s="296"/>
      <c r="L136" s="296"/>
      <c r="M136" s="296"/>
      <c r="N136" s="296"/>
      <c r="O136" s="296"/>
    </row>
    <row r="137" spans="1:15" ht="13.35" customHeight="1">
      <c r="A137" s="293"/>
      <c r="B137" s="579" t="str">
        <f t="shared" si="11"/>
        <v>I.7</v>
      </c>
      <c r="C137" s="358" t="str">
        <f t="shared" si="12"/>
        <v>การรั่วไหลของก๊าซเรือนกระจกจากกระบวนการทำเหมือง จัดเก็บ และขนส่งถ่านหิน</v>
      </c>
      <c r="D137" s="580">
        <f t="shared" si="13"/>
        <v>0</v>
      </c>
      <c r="E137" s="616">
        <f t="shared" si="14"/>
        <v>0</v>
      </c>
      <c r="F137" s="913">
        <v>7</v>
      </c>
      <c r="G137" s="296"/>
      <c r="H137" s="296"/>
      <c r="I137" s="296"/>
      <c r="J137" s="296"/>
      <c r="K137" s="296"/>
      <c r="L137" s="296"/>
      <c r="M137" s="296"/>
      <c r="N137" s="296"/>
      <c r="O137" s="296"/>
    </row>
    <row r="138" spans="1:15" ht="13.35" customHeight="1">
      <c r="A138" s="293"/>
      <c r="B138" s="579" t="str">
        <f t="shared" si="11"/>
        <v>I.8</v>
      </c>
      <c r="C138" s="358" t="str">
        <f t="shared" si="12"/>
        <v xml:space="preserve">การรั่วไหลของก๊าซเรือนกระจกจากระบบน้ำมันและก๊าซธรรมชาติ </v>
      </c>
      <c r="D138" s="580">
        <f t="shared" si="13"/>
        <v>0</v>
      </c>
      <c r="E138" s="616">
        <f t="shared" si="14"/>
        <v>0</v>
      </c>
      <c r="F138" s="913">
        <v>8</v>
      </c>
      <c r="G138" s="296"/>
      <c r="H138" s="296"/>
      <c r="I138" s="296"/>
      <c r="J138" s="296"/>
      <c r="K138" s="296"/>
      <c r="L138" s="296"/>
      <c r="M138" s="296"/>
      <c r="N138" s="296"/>
      <c r="O138" s="296"/>
    </row>
    <row r="139" spans="1:15" ht="13.35" customHeight="1">
      <c r="A139" s="293"/>
      <c r="B139" s="579" t="str">
        <f t="shared" si="11"/>
        <v>II.1</v>
      </c>
      <c r="C139" s="358" t="str">
        <f t="shared" si="12"/>
        <v>การขนส่งทางถนน</v>
      </c>
      <c r="D139" s="580">
        <f t="shared" si="13"/>
        <v>0</v>
      </c>
      <c r="E139" s="616">
        <f t="shared" si="14"/>
        <v>0</v>
      </c>
      <c r="F139" s="913">
        <v>9</v>
      </c>
      <c r="G139" s="296"/>
      <c r="H139" s="296"/>
      <c r="I139" s="296"/>
      <c r="J139" s="296"/>
      <c r="K139" s="296"/>
      <c r="L139" s="296"/>
      <c r="M139" s="296"/>
      <c r="N139" s="296"/>
      <c r="O139" s="296"/>
    </row>
    <row r="140" spans="1:15">
      <c r="A140" s="293"/>
      <c r="B140" s="579" t="str">
        <f t="shared" si="11"/>
        <v>II.2</v>
      </c>
      <c r="C140" s="358" t="str">
        <f t="shared" si="12"/>
        <v>การขนส่งทางระบบราง</v>
      </c>
      <c r="D140" s="580">
        <f t="shared" si="13"/>
        <v>0</v>
      </c>
      <c r="E140" s="616">
        <f t="shared" si="14"/>
        <v>0</v>
      </c>
      <c r="F140" s="913">
        <v>10</v>
      </c>
      <c r="G140" s="296"/>
      <c r="H140" s="296"/>
      <c r="I140" s="296"/>
      <c r="J140" s="296"/>
      <c r="K140" s="296"/>
      <c r="L140" s="296"/>
      <c r="M140" s="296"/>
      <c r="N140" s="296"/>
      <c r="O140" s="296"/>
    </row>
    <row r="141" spans="1:15">
      <c r="A141" s="293"/>
      <c r="B141" s="579" t="str">
        <f t="shared" si="11"/>
        <v>II.3</v>
      </c>
      <c r="C141" s="358" t="str">
        <f t="shared" si="12"/>
        <v>การขนส่งทางน้ำ</v>
      </c>
      <c r="D141" s="580">
        <f t="shared" si="13"/>
        <v>0</v>
      </c>
      <c r="E141" s="616">
        <f t="shared" si="14"/>
        <v>0</v>
      </c>
      <c r="F141" s="913">
        <v>11</v>
      </c>
      <c r="G141" s="296"/>
      <c r="H141" s="296"/>
      <c r="I141" s="296"/>
      <c r="J141" s="296"/>
      <c r="K141" s="296"/>
      <c r="L141" s="296"/>
      <c r="M141" s="296"/>
      <c r="N141" s="296"/>
      <c r="O141" s="296"/>
    </row>
    <row r="142" spans="1:15" ht="13.35" customHeight="1">
      <c r="A142" s="293"/>
      <c r="B142" s="579" t="str">
        <f t="shared" si="11"/>
        <v>II.4</v>
      </c>
      <c r="C142" s="358" t="str">
        <f t="shared" si="12"/>
        <v>การขนส่งทางอากาศ</v>
      </c>
      <c r="D142" s="580">
        <f t="shared" si="13"/>
        <v>0</v>
      </c>
      <c r="E142" s="616">
        <f t="shared" si="14"/>
        <v>0</v>
      </c>
      <c r="F142" s="913">
        <v>12</v>
      </c>
      <c r="G142" s="296"/>
      <c r="H142" s="296"/>
      <c r="I142" s="296"/>
      <c r="J142" s="296"/>
      <c r="K142" s="296"/>
      <c r="L142" s="296"/>
      <c r="M142" s="296"/>
      <c r="N142" s="296"/>
      <c r="O142" s="296"/>
    </row>
    <row r="143" spans="1:15" ht="13.35" customHeight="1">
      <c r="A143" s="293"/>
      <c r="B143" s="579" t="str">
        <f t="shared" si="11"/>
        <v>II.5</v>
      </c>
      <c r="C143" s="358" t="str">
        <f t="shared" si="12"/>
        <v>การขนส่งทางบกที่ไม่ใช่ถนน</v>
      </c>
      <c r="D143" s="580">
        <f t="shared" si="13"/>
        <v>0</v>
      </c>
      <c r="E143" s="616">
        <f t="shared" si="14"/>
        <v>0</v>
      </c>
      <c r="F143" s="913">
        <v>13</v>
      </c>
      <c r="G143" s="296"/>
      <c r="H143" s="296"/>
      <c r="I143" s="296"/>
      <c r="J143" s="296"/>
      <c r="K143" s="296"/>
      <c r="L143" s="296"/>
      <c r="M143" s="296"/>
      <c r="N143" s="296"/>
      <c r="O143" s="296"/>
    </row>
    <row r="144" spans="1:15">
      <c r="A144" s="293"/>
      <c r="B144" s="579" t="str">
        <f t="shared" si="11"/>
        <v>III.1.1/2</v>
      </c>
      <c r="C144" s="358" t="str">
        <f t="shared" si="12"/>
        <v>การจัดการของเสียที่เกิดในพื้นที่ ด้วยวิธีฝังกลบในพื้นที่</v>
      </c>
      <c r="D144" s="580">
        <f t="shared" si="13"/>
        <v>0</v>
      </c>
      <c r="E144" s="616">
        <f t="shared" si="14"/>
        <v>0</v>
      </c>
      <c r="F144" s="913">
        <v>14</v>
      </c>
      <c r="G144" s="296"/>
      <c r="H144" s="296"/>
      <c r="I144" s="296"/>
      <c r="J144" s="296"/>
      <c r="K144" s="296"/>
      <c r="L144" s="296"/>
      <c r="M144" s="296"/>
      <c r="N144" s="296"/>
      <c r="O144" s="296"/>
    </row>
    <row r="145" spans="1:15" ht="13.35" customHeight="1">
      <c r="A145" s="293"/>
      <c r="B145" s="579" t="str">
        <f t="shared" si="11"/>
        <v>III.2.1/2</v>
      </c>
      <c r="C145" s="358" t="str">
        <f t="shared" si="12"/>
        <v>การจัดการของเสียที่เกิดในพื้นที่ ด้วยวิธีการทางชีวภาพในพื้นที่</v>
      </c>
      <c r="D145" s="580">
        <f t="shared" si="13"/>
        <v>0</v>
      </c>
      <c r="E145" s="616">
        <f t="shared" si="14"/>
        <v>0</v>
      </c>
      <c r="F145" s="913">
        <v>15</v>
      </c>
      <c r="G145" s="296"/>
      <c r="H145" s="296"/>
      <c r="I145" s="296"/>
      <c r="J145" s="296"/>
      <c r="K145" s="296"/>
      <c r="L145" s="296"/>
      <c r="M145" s="296"/>
      <c r="N145" s="296"/>
      <c r="O145" s="296"/>
    </row>
    <row r="146" spans="1:15" ht="13.35" customHeight="1">
      <c r="A146" s="293"/>
      <c r="B146" s="579" t="str">
        <f t="shared" si="11"/>
        <v>III.3.1/2</v>
      </c>
      <c r="C146" s="358" t="str">
        <f t="shared" si="12"/>
        <v>การจัดการของเสียที่เกิดในพื้นที่ ด้วยวิธีการเผาไหม้ในพื้นที่</v>
      </c>
      <c r="D146" s="580">
        <f t="shared" si="13"/>
        <v>0</v>
      </c>
      <c r="E146" s="616">
        <f t="shared" si="14"/>
        <v>0</v>
      </c>
      <c r="F146" s="913">
        <v>16</v>
      </c>
      <c r="G146" s="296"/>
      <c r="H146" s="296"/>
      <c r="I146" s="296"/>
      <c r="J146" s="296"/>
      <c r="K146" s="296"/>
      <c r="L146" s="296"/>
      <c r="M146" s="296"/>
      <c r="N146" s="296"/>
      <c r="O146" s="296"/>
    </row>
    <row r="147" spans="1:15" ht="13.35" customHeight="1">
      <c r="A147" s="293"/>
      <c r="B147" s="579" t="str">
        <f t="shared" si="11"/>
        <v>III.4.1/2</v>
      </c>
      <c r="C147" s="358" t="str">
        <f t="shared" si="12"/>
        <v>การจัดการน้ำเสียที่เกิดในพื้นที่ ด้วยการบำบัดในพื้นที่</v>
      </c>
      <c r="D147" s="580">
        <f t="shared" si="13"/>
        <v>0</v>
      </c>
      <c r="E147" s="616">
        <f t="shared" si="14"/>
        <v>0</v>
      </c>
      <c r="F147" s="913">
        <v>17</v>
      </c>
      <c r="G147" s="296"/>
      <c r="H147" s="296"/>
      <c r="I147" s="296"/>
      <c r="J147" s="296"/>
      <c r="K147" s="296"/>
      <c r="L147" s="296"/>
      <c r="M147" s="296"/>
      <c r="N147" s="296"/>
      <c r="O147" s="296"/>
    </row>
    <row r="148" spans="1:15">
      <c r="A148" s="293"/>
      <c r="B148" s="579" t="str">
        <f t="shared" si="11"/>
        <v>IV.1</v>
      </c>
      <c r="C148" s="358" t="str">
        <f t="shared" si="12"/>
        <v>กระบวนการอุตสาหกรรม</v>
      </c>
      <c r="D148" s="580">
        <f t="shared" si="13"/>
        <v>0</v>
      </c>
      <c r="E148" s="616">
        <f t="shared" si="14"/>
        <v>0</v>
      </c>
      <c r="F148" s="913">
        <v>18</v>
      </c>
      <c r="G148" s="296"/>
      <c r="H148" s="296"/>
      <c r="I148" s="296"/>
      <c r="J148" s="296"/>
      <c r="K148" s="296"/>
      <c r="L148" s="296"/>
      <c r="M148" s="296"/>
      <c r="N148" s="296"/>
      <c r="O148" s="296"/>
    </row>
    <row r="149" spans="1:15">
      <c r="A149" s="293"/>
      <c r="B149" s="579" t="str">
        <f t="shared" si="11"/>
        <v>IV.2</v>
      </c>
      <c r="C149" s="358" t="str">
        <f t="shared" si="12"/>
        <v>การใช้ผลิตภัณฑ์</v>
      </c>
      <c r="D149" s="580">
        <f t="shared" si="13"/>
        <v>0</v>
      </c>
      <c r="E149" s="616">
        <f t="shared" si="14"/>
        <v>0</v>
      </c>
      <c r="F149" s="913">
        <v>19</v>
      </c>
      <c r="G149" s="296"/>
      <c r="H149" s="296"/>
      <c r="I149" s="296"/>
      <c r="J149" s="296"/>
      <c r="K149" s="296"/>
      <c r="L149" s="296"/>
      <c r="M149" s="296"/>
      <c r="N149" s="296"/>
      <c r="O149" s="296"/>
    </row>
    <row r="150" spans="1:15" ht="13.35" customHeight="1">
      <c r="A150" s="293"/>
      <c r="B150" s="579" t="str">
        <f t="shared" si="11"/>
        <v>V.1</v>
      </c>
      <c r="C150" s="358" t="str">
        <f t="shared" si="12"/>
        <v>การจัดการปศุสัตว์</v>
      </c>
      <c r="D150" s="580">
        <f t="shared" si="13"/>
        <v>0</v>
      </c>
      <c r="E150" s="616">
        <f t="shared" si="14"/>
        <v>0</v>
      </c>
      <c r="F150" s="913">
        <v>20</v>
      </c>
      <c r="G150" s="296"/>
      <c r="H150" s="296"/>
      <c r="I150" s="296"/>
      <c r="J150" s="296"/>
      <c r="K150" s="296"/>
      <c r="L150" s="296"/>
      <c r="M150" s="296"/>
      <c r="N150" s="296"/>
      <c r="O150" s="296"/>
    </row>
    <row r="151" spans="1:15" ht="13.35" customHeight="1">
      <c r="A151" s="293"/>
      <c r="B151" s="579" t="str">
        <f t="shared" si="11"/>
        <v>V.2</v>
      </c>
      <c r="C151" s="358" t="str">
        <f t="shared" si="12"/>
        <v>การใช้ประโยชน์ที่ดินและการเปลี่ยนแปลงการใช้ประโยชน์ที่ดิน</v>
      </c>
      <c r="D151" s="580">
        <f t="shared" si="13"/>
        <v>0</v>
      </c>
      <c r="E151" s="616">
        <f t="shared" si="14"/>
        <v>0</v>
      </c>
      <c r="F151" s="913">
        <v>21</v>
      </c>
      <c r="G151" s="296"/>
      <c r="H151" s="296"/>
      <c r="I151" s="296"/>
      <c r="J151" s="296"/>
      <c r="K151" s="296"/>
      <c r="L151" s="296"/>
      <c r="M151" s="296"/>
      <c r="N151" s="296"/>
      <c r="O151" s="296"/>
    </row>
    <row r="152" spans="1:15">
      <c r="A152" s="293"/>
      <c r="B152" s="579" t="str">
        <f t="shared" si="11"/>
        <v>V3.1</v>
      </c>
      <c r="C152" s="358" t="str">
        <f t="shared" si="12"/>
        <v>การเผาไหม้ชีวมวล</v>
      </c>
      <c r="D152" s="580">
        <f t="shared" si="13"/>
        <v>0</v>
      </c>
      <c r="E152" s="616">
        <f t="shared" si="14"/>
        <v>0</v>
      </c>
      <c r="F152" s="913">
        <v>22</v>
      </c>
      <c r="G152" s="296"/>
      <c r="H152" s="296"/>
      <c r="I152" s="296"/>
      <c r="J152" s="296"/>
      <c r="K152" s="296"/>
      <c r="L152" s="296"/>
      <c r="M152" s="296"/>
      <c r="N152" s="296"/>
      <c r="O152" s="296"/>
    </row>
    <row r="153" spans="1:15">
      <c r="A153" s="293"/>
      <c r="B153" s="579" t="str">
        <f t="shared" si="11"/>
        <v>V3.2</v>
      </c>
      <c r="C153" s="358" t="str">
        <f t="shared" si="12"/>
        <v>การปลูกข้าว</v>
      </c>
      <c r="D153" s="580">
        <f t="shared" si="13"/>
        <v>0</v>
      </c>
      <c r="E153" s="616">
        <f t="shared" si="14"/>
        <v>0</v>
      </c>
      <c r="F153" s="913">
        <v>23</v>
      </c>
      <c r="G153" s="296"/>
      <c r="H153" s="296"/>
      <c r="I153" s="296"/>
      <c r="J153" s="296"/>
      <c r="K153" s="296"/>
      <c r="L153" s="296"/>
      <c r="M153" s="296"/>
      <c r="N153" s="296"/>
      <c r="O153" s="296"/>
    </row>
    <row r="154" spans="1:15">
      <c r="A154" s="293"/>
      <c r="B154" s="579" t="str">
        <f t="shared" si="11"/>
        <v>V3.3</v>
      </c>
      <c r="C154" s="358" t="str">
        <f t="shared" si="12"/>
        <v>การใช้ปูน</v>
      </c>
      <c r="D154" s="580">
        <f t="shared" si="13"/>
        <v>0</v>
      </c>
      <c r="E154" s="616">
        <f t="shared" si="14"/>
        <v>0</v>
      </c>
      <c r="F154" s="913">
        <v>24</v>
      </c>
      <c r="G154" s="296"/>
      <c r="H154" s="296"/>
      <c r="I154" s="296"/>
      <c r="J154" s="296"/>
      <c r="K154" s="296"/>
      <c r="L154" s="296"/>
      <c r="M154" s="296"/>
      <c r="N154" s="296"/>
      <c r="O154" s="296"/>
    </row>
    <row r="155" spans="1:15">
      <c r="A155" s="293"/>
      <c r="B155" s="579" t="str">
        <f t="shared" si="11"/>
        <v>V3.4</v>
      </c>
      <c r="C155" s="358" t="str">
        <f t="shared" si="12"/>
        <v>การใช้ปุ๋ยยูเรีย</v>
      </c>
      <c r="D155" s="580">
        <f t="shared" si="13"/>
        <v>0</v>
      </c>
      <c r="E155" s="616">
        <f t="shared" si="14"/>
        <v>0</v>
      </c>
      <c r="F155" s="913">
        <v>25</v>
      </c>
      <c r="K155" s="296"/>
      <c r="L155" s="296"/>
      <c r="M155" s="296"/>
      <c r="N155" s="296"/>
      <c r="O155" s="296"/>
    </row>
    <row r="156" spans="1:15" ht="13.35" customHeight="1">
      <c r="A156" s="293"/>
      <c r="B156" s="579" t="str">
        <f t="shared" si="11"/>
        <v>V3.5</v>
      </c>
      <c r="C156" s="358" t="str">
        <f t="shared" si="12"/>
        <v>ดินที่มีการจัดการ</v>
      </c>
      <c r="D156" s="580">
        <f t="shared" si="13"/>
        <v>0</v>
      </c>
      <c r="E156" s="616">
        <f t="shared" si="14"/>
        <v>0</v>
      </c>
      <c r="F156" s="913">
        <v>26</v>
      </c>
      <c r="K156" s="296"/>
      <c r="L156" s="296"/>
      <c r="M156" s="296"/>
      <c r="N156" s="296"/>
      <c r="O156" s="296"/>
    </row>
    <row r="157" spans="1:15">
      <c r="A157" s="293"/>
      <c r="B157" s="579">
        <f t="shared" si="11"/>
        <v>0</v>
      </c>
      <c r="C157" s="358">
        <f t="shared" si="12"/>
        <v>0</v>
      </c>
      <c r="D157" s="580">
        <f t="shared" si="13"/>
        <v>0</v>
      </c>
      <c r="E157" s="616">
        <f t="shared" si="14"/>
        <v>0</v>
      </c>
      <c r="F157" s="913">
        <v>27</v>
      </c>
      <c r="K157" s="296"/>
      <c r="L157" s="296"/>
      <c r="M157" s="296"/>
      <c r="N157" s="296"/>
      <c r="O157" s="296"/>
    </row>
    <row r="158" spans="1:15">
      <c r="A158" s="293"/>
      <c r="B158" s="579">
        <f t="shared" si="11"/>
        <v>0</v>
      </c>
      <c r="C158" s="358">
        <f t="shared" si="12"/>
        <v>0</v>
      </c>
      <c r="D158" s="580">
        <f t="shared" si="13"/>
        <v>0</v>
      </c>
      <c r="E158" s="616">
        <f t="shared" si="14"/>
        <v>0</v>
      </c>
      <c r="F158" s="913">
        <v>28</v>
      </c>
      <c r="K158" s="296"/>
      <c r="L158" s="296"/>
      <c r="M158" s="296"/>
      <c r="N158" s="296"/>
      <c r="O158" s="296"/>
    </row>
    <row r="159" spans="1:15">
      <c r="A159" s="293"/>
      <c r="B159" s="293"/>
      <c r="C159" s="293"/>
      <c r="D159" s="293"/>
      <c r="E159" s="293"/>
      <c r="F159" s="293"/>
    </row>
  </sheetData>
  <mergeCells count="38">
    <mergeCell ref="C54:E54"/>
    <mergeCell ref="C51:E51"/>
    <mergeCell ref="C55:E55"/>
    <mergeCell ref="C56:E56"/>
    <mergeCell ref="B64:E64"/>
    <mergeCell ref="B17:D17"/>
    <mergeCell ref="B19:E20"/>
    <mergeCell ref="C30:E30"/>
    <mergeCell ref="C22:E22"/>
    <mergeCell ref="C23:E23"/>
    <mergeCell ref="C24:E24"/>
    <mergeCell ref="C25:E25"/>
    <mergeCell ref="C26:E26"/>
    <mergeCell ref="C27:E27"/>
    <mergeCell ref="C28:E28"/>
    <mergeCell ref="C29:E29"/>
    <mergeCell ref="B8:D9"/>
    <mergeCell ref="E8:I8"/>
    <mergeCell ref="C10:C11"/>
    <mergeCell ref="C13:C14"/>
    <mergeCell ref="B10:B11"/>
    <mergeCell ref="B13:B14"/>
    <mergeCell ref="B129:C130"/>
    <mergeCell ref="D129:D130"/>
    <mergeCell ref="E129:E130"/>
    <mergeCell ref="F129:F130"/>
    <mergeCell ref="P19:P20"/>
    <mergeCell ref="F19:I19"/>
    <mergeCell ref="J19:O19"/>
    <mergeCell ref="C44:E44"/>
    <mergeCell ref="C40:E40"/>
    <mergeCell ref="C41:E41"/>
    <mergeCell ref="C42:E42"/>
    <mergeCell ref="C43:E43"/>
    <mergeCell ref="C45:E45"/>
    <mergeCell ref="C46:E46"/>
    <mergeCell ref="C47:E47"/>
    <mergeCell ref="C50:E50"/>
  </mergeCells>
  <phoneticPr fontId="124" type="noConversion"/>
  <conditionalFormatting sqref="O22:O62">
    <cfRule type="dataBar" priority="10">
      <dataBar>
        <cfvo type="min"/>
        <cfvo type="max"/>
        <color rgb="FFFF555A"/>
      </dataBar>
      <extLst>
        <ext xmlns:x14="http://schemas.microsoft.com/office/spreadsheetml/2009/9/main" uri="{B025F937-C7B1-47D3-B67F-A62EFF666E3E}">
          <x14:id>{942D04AA-9C77-4984-81EE-68C7A989CC90}</x14:id>
        </ext>
      </extLst>
    </cfRule>
  </conditionalFormatting>
  <printOptions horizontalCentered="1"/>
  <pageMargins left="0" right="0" top="0" bottom="0" header="0" footer="0"/>
  <pageSetup paperSize="9" scale="75" orientation="landscape" r:id="rId1"/>
  <rowBreaks count="1" manualBreakCount="1">
    <brk id="64" max="8" man="1"/>
  </rowBreaks>
  <drawing r:id="rId2"/>
  <extLst>
    <ext xmlns:x14="http://schemas.microsoft.com/office/spreadsheetml/2009/9/main" uri="{78C0D931-6437-407d-A8EE-F0AAD7539E65}">
      <x14:conditionalFormattings>
        <x14:conditionalFormatting xmlns:xm="http://schemas.microsoft.com/office/excel/2006/main">
          <x14:cfRule type="dataBar" id="{942D04AA-9C77-4984-81EE-68C7A989CC90}">
            <x14:dataBar minLength="0" maxLength="100" border="1" negativeBarBorderColorSameAsPositive="0">
              <x14:cfvo type="autoMin"/>
              <x14:cfvo type="autoMax"/>
              <x14:borderColor rgb="FFFF555A"/>
              <x14:negativeFillColor rgb="FFFF0000"/>
              <x14:negativeBorderColor rgb="FFFF0000"/>
              <x14:axisColor rgb="FF000000"/>
            </x14:dataBar>
          </x14:cfRule>
          <xm:sqref>O22:O62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P49"/>
  <sheetViews>
    <sheetView topLeftCell="A25" zoomScale="55" zoomScaleNormal="55" workbookViewId="0">
      <selection activeCell="E42" sqref="E42"/>
    </sheetView>
  </sheetViews>
  <sheetFormatPr defaultColWidth="18.44140625" defaultRowHeight="13.2"/>
  <cols>
    <col min="1" max="1" width="2.44140625" style="295" customWidth="1"/>
    <col min="2" max="2" width="10.44140625" style="295" customWidth="1"/>
    <col min="3" max="3" width="31.44140625" style="295" customWidth="1"/>
    <col min="4" max="4" width="21.44140625" style="295" customWidth="1"/>
    <col min="5" max="8" width="15.44140625" style="295" customWidth="1"/>
    <col min="9" max="12" width="15.44140625" style="296" customWidth="1"/>
    <col min="13" max="13" width="5.44140625" style="296" customWidth="1"/>
    <col min="14" max="16384" width="18.44140625" style="296"/>
  </cols>
  <sheetData>
    <row r="1" spans="1:12">
      <c r="A1" s="293"/>
      <c r="B1" s="294"/>
      <c r="C1" s="294"/>
      <c r="D1" s="294"/>
      <c r="E1" s="294"/>
      <c r="F1" s="294"/>
      <c r="G1" s="294"/>
      <c r="H1" s="294"/>
    </row>
    <row r="2" spans="1:12">
      <c r="A2" s="293"/>
      <c r="B2" s="305" t="s">
        <v>136</v>
      </c>
      <c r="C2" s="306"/>
      <c r="D2" s="306"/>
      <c r="E2" s="306"/>
      <c r="F2" s="306"/>
      <c r="G2" s="306"/>
      <c r="H2" s="306"/>
      <c r="I2" s="306"/>
      <c r="J2" s="306"/>
      <c r="K2" s="306"/>
      <c r="L2" s="306"/>
    </row>
    <row r="3" spans="1:12">
      <c r="B3" s="310"/>
      <c r="C3" s="311"/>
      <c r="D3" s="311"/>
      <c r="E3" s="311"/>
      <c r="F3" s="311"/>
      <c r="G3" s="311"/>
      <c r="H3" s="311"/>
    </row>
    <row r="4" spans="1:12">
      <c r="A4" s="293"/>
      <c r="B4" s="306" t="s">
        <v>137</v>
      </c>
      <c r="C4" s="1413">
        <f>'City information'!$C$4</f>
        <v>0</v>
      </c>
      <c r="D4" s="306"/>
      <c r="E4" s="305" t="s">
        <v>138</v>
      </c>
      <c r="F4" s="307"/>
      <c r="G4" s="307"/>
      <c r="H4" s="308"/>
      <c r="I4" s="306"/>
      <c r="J4" s="306"/>
      <c r="K4" s="615">
        <f>'City information'!C6</f>
        <v>0</v>
      </c>
      <c r="L4" s="306" t="s">
        <v>139</v>
      </c>
    </row>
    <row r="5" spans="1:12">
      <c r="A5" s="293"/>
      <c r="B5" s="120" t="s">
        <v>140</v>
      </c>
      <c r="C5" s="1413">
        <f>'City information'!$C$5</f>
        <v>2562</v>
      </c>
      <c r="D5" s="306"/>
      <c r="E5" s="305" t="s">
        <v>141</v>
      </c>
      <c r="F5" s="307"/>
      <c r="G5" s="307"/>
      <c r="H5" s="308"/>
      <c r="I5" s="306"/>
      <c r="J5" s="306"/>
      <c r="K5" s="615">
        <f>'City information'!C7</f>
        <v>0</v>
      </c>
      <c r="L5" s="306" t="s">
        <v>139</v>
      </c>
    </row>
    <row r="6" spans="1:12">
      <c r="A6" s="293"/>
      <c r="B6" s="120" t="s">
        <v>142</v>
      </c>
      <c r="C6" s="1414">
        <f>'City information'!C11</f>
        <v>0</v>
      </c>
      <c r="D6" s="306" t="s">
        <v>143</v>
      </c>
      <c r="E6" s="306" t="s">
        <v>144</v>
      </c>
      <c r="F6" s="307"/>
      <c r="G6" s="307"/>
      <c r="H6" s="309"/>
      <c r="I6" s="306"/>
      <c r="J6" s="306"/>
      <c r="K6" s="615">
        <f>'City information'!C10</f>
        <v>0</v>
      </c>
      <c r="L6" s="306" t="s">
        <v>145</v>
      </c>
    </row>
    <row r="7" spans="1:12" ht="13.8" thickBot="1">
      <c r="A7" s="293"/>
      <c r="B7" s="293"/>
      <c r="C7" s="293"/>
      <c r="D7" s="293"/>
      <c r="E7" s="293"/>
      <c r="F7" s="293"/>
      <c r="G7" s="293"/>
      <c r="H7" s="298"/>
      <c r="I7" s="299"/>
      <c r="J7" s="299"/>
      <c r="K7" s="299"/>
      <c r="L7" s="299"/>
    </row>
    <row r="8" spans="1:12">
      <c r="A8" s="293"/>
      <c r="B8" s="2030" t="s">
        <v>238</v>
      </c>
      <c r="C8" s="2031"/>
      <c r="D8" s="2031"/>
      <c r="E8" s="2037" t="s">
        <v>239</v>
      </c>
      <c r="F8" s="2037"/>
      <c r="G8" s="2038"/>
      <c r="H8" s="1152"/>
      <c r="I8" s="1153"/>
      <c r="J8" s="1153"/>
      <c r="K8" s="1154">
        <f>IFERROR($H$20/$K$4,0)</f>
        <v>0</v>
      </c>
      <c r="L8" s="1155" t="s">
        <v>139</v>
      </c>
    </row>
    <row r="9" spans="1:12">
      <c r="A9" s="293"/>
      <c r="B9" s="2032"/>
      <c r="C9" s="2033"/>
      <c r="D9" s="2033"/>
      <c r="E9" s="2039" t="s">
        <v>240</v>
      </c>
      <c r="F9" s="2039"/>
      <c r="G9" s="1982"/>
      <c r="H9" s="322"/>
      <c r="I9" s="323"/>
      <c r="J9" s="323"/>
      <c r="K9" s="613">
        <f>IFERROR($H$20/$K$5,0)</f>
        <v>0</v>
      </c>
      <c r="L9" s="324" t="s">
        <v>139</v>
      </c>
    </row>
    <row r="10" spans="1:12">
      <c r="A10" s="293"/>
      <c r="B10" s="2032"/>
      <c r="C10" s="2033"/>
      <c r="D10" s="2033"/>
      <c r="E10" s="2039" t="s">
        <v>241</v>
      </c>
      <c r="F10" s="2039"/>
      <c r="G10" s="1982"/>
      <c r="H10" s="316"/>
      <c r="I10" s="317"/>
      <c r="J10" s="317"/>
      <c r="K10" s="318">
        <f>IFERROR($H$20/$K$6,0)</f>
        <v>0</v>
      </c>
      <c r="L10" s="914" t="s">
        <v>145</v>
      </c>
    </row>
    <row r="11" spans="1:12" ht="13.8" thickBot="1">
      <c r="A11" s="293"/>
      <c r="B11" s="2034"/>
      <c r="C11" s="2035"/>
      <c r="D11" s="2035"/>
      <c r="E11" s="2040" t="s">
        <v>242</v>
      </c>
      <c r="F11" s="2040"/>
      <c r="G11" s="2041"/>
      <c r="H11" s="789"/>
      <c r="I11" s="915"/>
      <c r="J11" s="915"/>
      <c r="K11" s="614">
        <f>IFERROR($H$20/$C$6,0)</f>
        <v>0</v>
      </c>
      <c r="L11" s="916" t="s">
        <v>143</v>
      </c>
    </row>
    <row r="12" spans="1:12" ht="13.8" thickBot="1">
      <c r="A12" s="293"/>
      <c r="B12" s="299"/>
      <c r="C12" s="299"/>
      <c r="D12" s="296"/>
      <c r="E12" s="293"/>
      <c r="F12" s="293"/>
      <c r="G12" s="293"/>
      <c r="H12" s="298"/>
      <c r="I12" s="299"/>
      <c r="J12" s="299"/>
      <c r="K12" s="299"/>
      <c r="L12" s="299"/>
    </row>
    <row r="13" spans="1:12" ht="13.8" thickBot="1">
      <c r="A13" s="293"/>
      <c r="B13" s="293"/>
      <c r="C13" s="293"/>
      <c r="D13" s="293"/>
      <c r="E13" s="2025" t="s">
        <v>2467</v>
      </c>
      <c r="F13" s="2026"/>
      <c r="G13" s="2026"/>
      <c r="H13" s="2027"/>
      <c r="I13" s="2028" t="s">
        <v>169</v>
      </c>
      <c r="J13" s="1980"/>
      <c r="K13" s="1980"/>
      <c r="L13" s="1981"/>
    </row>
    <row r="14" spans="1:12" ht="15">
      <c r="A14" s="293"/>
      <c r="B14" s="2005" t="s">
        <v>150</v>
      </c>
      <c r="C14" s="2006"/>
      <c r="D14" s="2006"/>
      <c r="E14" s="1156" t="s">
        <v>243</v>
      </c>
      <c r="F14" s="1157" t="s">
        <v>244</v>
      </c>
      <c r="G14" s="1157" t="s">
        <v>245</v>
      </c>
      <c r="H14" s="1158" t="s">
        <v>246</v>
      </c>
      <c r="I14" s="1156" t="s">
        <v>243</v>
      </c>
      <c r="J14" s="1157" t="s">
        <v>244</v>
      </c>
      <c r="K14" s="1157" t="s">
        <v>245</v>
      </c>
      <c r="L14" s="1158" t="s">
        <v>246</v>
      </c>
    </row>
    <row r="15" spans="1:12" ht="80.099999999999994" customHeight="1">
      <c r="A15" s="293"/>
      <c r="B15" s="557" t="s">
        <v>152</v>
      </c>
      <c r="C15" s="558" t="s">
        <v>153</v>
      </c>
      <c r="D15" s="566"/>
      <c r="E15" s="567">
        <f>ROUND(('Overview Result'!F22+'Overview Result'!F23+'Overview Result'!F24+'Overview Result'!F25+'Overview Result'!F27+'Overview Result'!F28),0)</f>
        <v>0</v>
      </c>
      <c r="F15" s="559">
        <f>ROUND('Overview Result'!G31,0)</f>
        <v>0</v>
      </c>
      <c r="G15" s="560"/>
      <c r="H15" s="568">
        <f>SUM(E15:G15)</f>
        <v>0</v>
      </c>
      <c r="I15" s="348">
        <f>ROUND(IFERROR((E15/$H$20),0),6)</f>
        <v>0</v>
      </c>
      <c r="J15" s="314">
        <f>ROUND(IFERROR((F15/$H$20),0),6)</f>
        <v>0</v>
      </c>
      <c r="K15" s="561"/>
      <c r="L15" s="571">
        <f>SUM(I15:K15)</f>
        <v>0</v>
      </c>
    </row>
    <row r="16" spans="1:12" ht="80.099999999999994" customHeight="1">
      <c r="A16" s="293"/>
      <c r="B16" s="557" t="s">
        <v>156</v>
      </c>
      <c r="C16" s="558" t="s">
        <v>247</v>
      </c>
      <c r="D16" s="566"/>
      <c r="E16" s="567">
        <f>ROUND('Overview Result'!F38,0)</f>
        <v>0</v>
      </c>
      <c r="F16" s="559">
        <f>ROUND('Overview Result'!G38,0)</f>
        <v>0</v>
      </c>
      <c r="G16" s="560"/>
      <c r="H16" s="568">
        <f>SUM(E16:G16)</f>
        <v>0</v>
      </c>
      <c r="I16" s="348">
        <f>ROUND(IFERROR((E16/$H$20),0),6)</f>
        <v>0</v>
      </c>
      <c r="J16" s="314">
        <f>ROUND(IFERROR((F16/$H$20),0),6)</f>
        <v>0</v>
      </c>
      <c r="K16" s="562"/>
      <c r="L16" s="571">
        <f>SUM(I16:K16)</f>
        <v>0</v>
      </c>
    </row>
    <row r="17" spans="1:16" ht="80.099999999999994" customHeight="1">
      <c r="A17" s="293"/>
      <c r="B17" s="557" t="s">
        <v>159</v>
      </c>
      <c r="C17" s="558" t="s">
        <v>248</v>
      </c>
      <c r="D17" s="566"/>
      <c r="E17" s="567">
        <f>ROUND(SUM('Overview Result'!F40:F43),0)</f>
        <v>0</v>
      </c>
      <c r="F17" s="560"/>
      <c r="G17" s="559">
        <f>ROUND('Overview Result'!H48,0)</f>
        <v>0</v>
      </c>
      <c r="H17" s="568">
        <f>SUM(E17:G17)</f>
        <v>0</v>
      </c>
      <c r="I17" s="348">
        <f>ROUND(IFERROR((E17/$H$20),0),6)</f>
        <v>0</v>
      </c>
      <c r="J17" s="562"/>
      <c r="K17" s="314">
        <f>ROUND(IFERROR((G17/$H$20),0),6)</f>
        <v>0</v>
      </c>
      <c r="L17" s="571">
        <f>SUM(I17:K17)</f>
        <v>0</v>
      </c>
    </row>
    <row r="18" spans="1:16" ht="80.099999999999994" customHeight="1">
      <c r="A18" s="293"/>
      <c r="B18" s="557" t="s">
        <v>163</v>
      </c>
      <c r="C18" s="558" t="s">
        <v>249</v>
      </c>
      <c r="D18" s="566"/>
      <c r="E18" s="569"/>
      <c r="F18" s="562"/>
      <c r="G18" s="562"/>
      <c r="H18" s="570"/>
      <c r="I18" s="747"/>
      <c r="J18" s="746"/>
      <c r="K18" s="746"/>
      <c r="L18" s="748"/>
    </row>
    <row r="19" spans="1:16" ht="80.099999999999994" customHeight="1" thickBot="1">
      <c r="A19" s="293"/>
      <c r="B19" s="557" t="s">
        <v>165</v>
      </c>
      <c r="C19" s="558" t="s">
        <v>166</v>
      </c>
      <c r="D19" s="566"/>
      <c r="E19" s="569"/>
      <c r="F19" s="562"/>
      <c r="G19" s="562"/>
      <c r="H19" s="570"/>
      <c r="I19" s="747"/>
      <c r="J19" s="746"/>
      <c r="K19" s="746"/>
      <c r="L19" s="748"/>
    </row>
    <row r="20" spans="1:16">
      <c r="A20" s="293"/>
      <c r="B20" s="2042" t="s">
        <v>250</v>
      </c>
      <c r="C20" s="2043"/>
      <c r="D20" s="2044"/>
      <c r="E20" s="2045">
        <f t="shared" ref="E20:L20" si="0">SUM(E15:E19)</f>
        <v>0</v>
      </c>
      <c r="F20" s="2046">
        <f t="shared" si="0"/>
        <v>0</v>
      </c>
      <c r="G20" s="2046">
        <f t="shared" si="0"/>
        <v>0</v>
      </c>
      <c r="H20" s="2047">
        <f>SUM(H15:H19)</f>
        <v>0</v>
      </c>
      <c r="I20" s="2048">
        <f t="shared" si="0"/>
        <v>0</v>
      </c>
      <c r="J20" s="2049">
        <f t="shared" si="0"/>
        <v>0</v>
      </c>
      <c r="K20" s="2049">
        <f t="shared" si="0"/>
        <v>0</v>
      </c>
      <c r="L20" s="2050">
        <f t="shared" si="0"/>
        <v>0</v>
      </c>
    </row>
    <row r="21" spans="1:16" ht="13.8" thickBot="1">
      <c r="A21" s="293"/>
      <c r="B21" s="2010"/>
      <c r="C21" s="2011"/>
      <c r="D21" s="2012"/>
      <c r="E21" s="2014"/>
      <c r="F21" s="2016"/>
      <c r="G21" s="2016"/>
      <c r="H21" s="2018"/>
      <c r="I21" s="2020"/>
      <c r="J21" s="2022"/>
      <c r="K21" s="2022"/>
      <c r="L21" s="2024"/>
    </row>
    <row r="22" spans="1:16" ht="13.8" thickBot="1">
      <c r="A22" s="293"/>
      <c r="B22" s="319"/>
      <c r="C22" s="319"/>
      <c r="D22" s="319"/>
      <c r="E22" s="320"/>
      <c r="F22" s="320"/>
      <c r="G22" s="320"/>
      <c r="H22" s="320"/>
      <c r="I22" s="321"/>
      <c r="J22" s="321"/>
      <c r="K22" s="321"/>
      <c r="L22" s="321"/>
      <c r="N22" s="844"/>
      <c r="O22" s="844"/>
      <c r="P22" s="844"/>
    </row>
    <row r="23" spans="1:16">
      <c r="A23" s="293"/>
      <c r="B23" s="2030" t="s">
        <v>238</v>
      </c>
      <c r="C23" s="2031"/>
      <c r="D23" s="2031"/>
      <c r="E23" s="2036" t="s">
        <v>239</v>
      </c>
      <c r="F23" s="2037"/>
      <c r="G23" s="2038"/>
      <c r="H23" s="1152"/>
      <c r="I23" s="1153"/>
      <c r="J23" s="1153"/>
      <c r="K23" s="1154">
        <f>IFERROR($H$35/$K$4,0)</f>
        <v>0</v>
      </c>
      <c r="L23" s="1155" t="s">
        <v>139</v>
      </c>
    </row>
    <row r="24" spans="1:16">
      <c r="A24" s="293"/>
      <c r="B24" s="2032"/>
      <c r="C24" s="2033"/>
      <c r="D24" s="2033"/>
      <c r="E24" s="2039" t="s">
        <v>240</v>
      </c>
      <c r="F24" s="2039"/>
      <c r="G24" s="1982"/>
      <c r="H24" s="322"/>
      <c r="I24" s="323"/>
      <c r="J24" s="323"/>
      <c r="K24" s="613">
        <f>IFERROR($H$35/$K$5,0)</f>
        <v>0</v>
      </c>
      <c r="L24" s="324" t="s">
        <v>139</v>
      </c>
    </row>
    <row r="25" spans="1:16">
      <c r="A25" s="293"/>
      <c r="B25" s="2032"/>
      <c r="C25" s="2033"/>
      <c r="D25" s="2033"/>
      <c r="E25" s="2039" t="s">
        <v>241</v>
      </c>
      <c r="F25" s="2039"/>
      <c r="G25" s="1982"/>
      <c r="H25" s="316"/>
      <c r="I25" s="317"/>
      <c r="J25" s="317"/>
      <c r="K25" s="318">
        <f>IFERROR($H$35/$K$6,0)</f>
        <v>0</v>
      </c>
      <c r="L25" s="914" t="s">
        <v>145</v>
      </c>
    </row>
    <row r="26" spans="1:16" ht="13.8" thickBot="1">
      <c r="A26" s="293"/>
      <c r="B26" s="2034"/>
      <c r="C26" s="2035"/>
      <c r="D26" s="2035"/>
      <c r="E26" s="2040" t="s">
        <v>242</v>
      </c>
      <c r="F26" s="2040"/>
      <c r="G26" s="2041"/>
      <c r="H26" s="789"/>
      <c r="I26" s="915"/>
      <c r="J26" s="915"/>
      <c r="K26" s="614">
        <f>IFERROR($H$35/$C$6,0)</f>
        <v>0</v>
      </c>
      <c r="L26" s="916" t="s">
        <v>143</v>
      </c>
    </row>
    <row r="27" spans="1:16" ht="13.8" thickBot="1">
      <c r="A27" s="293"/>
      <c r="B27" s="293"/>
      <c r="C27" s="293"/>
      <c r="D27" s="293"/>
      <c r="E27" s="293"/>
      <c r="F27" s="293"/>
      <c r="G27" s="293"/>
      <c r="H27" s="293"/>
    </row>
    <row r="28" spans="1:16" ht="13.8" thickBot="1">
      <c r="A28" s="293"/>
      <c r="B28" s="293"/>
      <c r="C28" s="293"/>
      <c r="D28" s="293"/>
      <c r="E28" s="2025" t="s">
        <v>2467</v>
      </c>
      <c r="F28" s="2026"/>
      <c r="G28" s="2026"/>
      <c r="H28" s="2027"/>
      <c r="I28" s="2028" t="s">
        <v>251</v>
      </c>
      <c r="J28" s="1980"/>
      <c r="K28" s="1980"/>
      <c r="L28" s="1981"/>
    </row>
    <row r="29" spans="1:16" ht="15.6" customHeight="1" thickBot="1">
      <c r="A29" s="293"/>
      <c r="B29" s="2005" t="s">
        <v>151</v>
      </c>
      <c r="C29" s="2006"/>
      <c r="D29" s="2029"/>
      <c r="E29" s="1156" t="s">
        <v>243</v>
      </c>
      <c r="F29" s="1157" t="s">
        <v>244</v>
      </c>
      <c r="G29" s="1157" t="s">
        <v>245</v>
      </c>
      <c r="H29" s="1158" t="s">
        <v>246</v>
      </c>
      <c r="I29" s="1156" t="s">
        <v>243</v>
      </c>
      <c r="J29" s="1157" t="s">
        <v>244</v>
      </c>
      <c r="K29" s="1157" t="s">
        <v>245</v>
      </c>
      <c r="L29" s="1158" t="s">
        <v>246</v>
      </c>
    </row>
    <row r="30" spans="1:16" ht="80.099999999999994" customHeight="1">
      <c r="A30" s="293"/>
      <c r="B30" s="572" t="s">
        <v>152</v>
      </c>
      <c r="C30" s="573" t="s">
        <v>153</v>
      </c>
      <c r="D30" s="574"/>
      <c r="E30" s="567">
        <f>ROUND('Overview Result'!F31,0)</f>
        <v>0</v>
      </c>
      <c r="F30" s="559">
        <f>ROUND(SUM('Overview Result'!G22:G25)+SUM('Overview Result'!G27:G28),0)</f>
        <v>0</v>
      </c>
      <c r="G30" s="559">
        <f>ROUND(SUM('Overview Result'!H22:H25)+SUM('Overview Result'!H27:H28),0)</f>
        <v>0</v>
      </c>
      <c r="H30" s="568">
        <f>SUM(E30:G30)</f>
        <v>0</v>
      </c>
      <c r="I30" s="348">
        <f t="shared" ref="I30:K31" si="1">ROUND(IFERROR((E30/$H$35),0),6)</f>
        <v>0</v>
      </c>
      <c r="J30" s="314">
        <f t="shared" si="1"/>
        <v>0</v>
      </c>
      <c r="K30" s="314">
        <f t="shared" si="1"/>
        <v>0</v>
      </c>
      <c r="L30" s="571">
        <f>SUM(I30:K30)</f>
        <v>0</v>
      </c>
    </row>
    <row r="31" spans="1:16" ht="80.099999999999994" customHeight="1">
      <c r="A31" s="293"/>
      <c r="B31" s="575" t="s">
        <v>156</v>
      </c>
      <c r="C31" s="558" t="s">
        <v>247</v>
      </c>
      <c r="D31" s="576"/>
      <c r="E31" s="567">
        <f>ROUND(E16,0)</f>
        <v>0</v>
      </c>
      <c r="F31" s="559">
        <f>ROUND(F16,0)</f>
        <v>0</v>
      </c>
      <c r="G31" s="559">
        <f>ROUND(SUM('Overview Result'!H33:H36),0)</f>
        <v>0</v>
      </c>
      <c r="H31" s="568">
        <f>SUM(E31:G31)</f>
        <v>0</v>
      </c>
      <c r="I31" s="348">
        <f t="shared" si="1"/>
        <v>0</v>
      </c>
      <c r="J31" s="314">
        <f t="shared" si="1"/>
        <v>0</v>
      </c>
      <c r="K31" s="314">
        <f t="shared" si="1"/>
        <v>0</v>
      </c>
      <c r="L31" s="571">
        <f>SUM(I31:K31)</f>
        <v>0</v>
      </c>
    </row>
    <row r="32" spans="1:16" ht="80.099999999999994" customHeight="1">
      <c r="A32" s="293"/>
      <c r="B32" s="575" t="s">
        <v>159</v>
      </c>
      <c r="C32" s="558" t="s">
        <v>248</v>
      </c>
      <c r="D32" s="576"/>
      <c r="E32" s="567">
        <f>ROUND(E17,0)</f>
        <v>0</v>
      </c>
      <c r="F32" s="560"/>
      <c r="G32" s="559">
        <f>ROUND(G17,0)</f>
        <v>0</v>
      </c>
      <c r="H32" s="568">
        <f>SUM(E32:G32)</f>
        <v>0</v>
      </c>
      <c r="I32" s="348">
        <f>ROUND(IFERROR((E32/$H$35),0),6)</f>
        <v>0</v>
      </c>
      <c r="J32" s="562"/>
      <c r="K32" s="314">
        <f>ROUND(IFERROR((G32/$H$35),0),6)</f>
        <v>0</v>
      </c>
      <c r="L32" s="571">
        <f>SUM(I32:K32)</f>
        <v>0</v>
      </c>
    </row>
    <row r="33" spans="1:12" ht="80.099999999999994" customHeight="1">
      <c r="A33" s="293"/>
      <c r="B33" s="575" t="s">
        <v>163</v>
      </c>
      <c r="C33" s="558" t="s">
        <v>249</v>
      </c>
      <c r="D33" s="576"/>
      <c r="E33" s="567">
        <f>ROUND('Overview Result'!F52,0)</f>
        <v>0</v>
      </c>
      <c r="F33" s="560"/>
      <c r="G33" s="560"/>
      <c r="H33" s="568">
        <f>SUM(E33:G33)</f>
        <v>0</v>
      </c>
      <c r="I33" s="348">
        <f>ROUND(IFERROR((E33/$H$35),0),6)</f>
        <v>0</v>
      </c>
      <c r="J33" s="562"/>
      <c r="K33" s="562"/>
      <c r="L33" s="571">
        <f>SUM(I33:K33)</f>
        <v>0</v>
      </c>
    </row>
    <row r="34" spans="1:12" ht="80.099999999999994" customHeight="1" thickBot="1">
      <c r="A34" s="293"/>
      <c r="B34" s="577" t="s">
        <v>165</v>
      </c>
      <c r="C34" s="917" t="s">
        <v>166</v>
      </c>
      <c r="D34" s="918"/>
      <c r="E34" s="567">
        <f>ROUND('Overview Result'!F62,0)</f>
        <v>0</v>
      </c>
      <c r="F34" s="560"/>
      <c r="G34" s="560"/>
      <c r="H34" s="568">
        <f>SUM(E34:G34)</f>
        <v>0</v>
      </c>
      <c r="I34" s="348">
        <f>ROUND(IFERROR((E34/$H$35),0),6)</f>
        <v>0</v>
      </c>
      <c r="J34" s="562"/>
      <c r="K34" s="562"/>
      <c r="L34" s="571">
        <f>SUM(I34:K34)</f>
        <v>0</v>
      </c>
    </row>
    <row r="35" spans="1:12">
      <c r="A35" s="293"/>
      <c r="B35" s="2007" t="s">
        <v>250</v>
      </c>
      <c r="C35" s="2008"/>
      <c r="D35" s="2009"/>
      <c r="E35" s="2013">
        <f t="shared" ref="E35:L35" si="2">SUM(E30:E34)</f>
        <v>0</v>
      </c>
      <c r="F35" s="2015">
        <f t="shared" si="2"/>
        <v>0</v>
      </c>
      <c r="G35" s="2015">
        <f t="shared" si="2"/>
        <v>0</v>
      </c>
      <c r="H35" s="2017">
        <f>SUM(H30:H34)</f>
        <v>0</v>
      </c>
      <c r="I35" s="2019">
        <f>SUM(I30:I34)</f>
        <v>0</v>
      </c>
      <c r="J35" s="2021">
        <f t="shared" si="2"/>
        <v>0</v>
      </c>
      <c r="K35" s="2021">
        <f t="shared" si="2"/>
        <v>0</v>
      </c>
      <c r="L35" s="2023">
        <f t="shared" si="2"/>
        <v>0</v>
      </c>
    </row>
    <row r="36" spans="1:12" ht="13.8" thickBot="1">
      <c r="A36" s="293"/>
      <c r="B36" s="2010"/>
      <c r="C36" s="2011"/>
      <c r="D36" s="2012"/>
      <c r="E36" s="2014"/>
      <c r="F36" s="2016"/>
      <c r="G36" s="2016"/>
      <c r="H36" s="2018"/>
      <c r="I36" s="2020"/>
      <c r="J36" s="2022"/>
      <c r="K36" s="2022"/>
      <c r="L36" s="2024"/>
    </row>
    <row r="37" spans="1:12" ht="13.8" thickBot="1">
      <c r="A37" s="293"/>
      <c r="B37" s="293"/>
      <c r="C37" s="293"/>
      <c r="D37" s="293"/>
      <c r="E37" s="293"/>
      <c r="F37" s="293"/>
      <c r="G37" s="293"/>
      <c r="H37" s="293"/>
    </row>
    <row r="38" spans="1:12" ht="13.8" thickBot="1">
      <c r="A38" s="293"/>
      <c r="B38" s="293"/>
      <c r="C38" s="293"/>
      <c r="D38" s="293"/>
      <c r="E38" s="2001" t="s">
        <v>2467</v>
      </c>
      <c r="F38" s="2002"/>
      <c r="G38" s="2002"/>
      <c r="H38" s="2003"/>
      <c r="I38" s="1993" t="s">
        <v>251</v>
      </c>
      <c r="J38" s="1979"/>
      <c r="K38" s="1979"/>
      <c r="L38" s="2004"/>
    </row>
    <row r="39" spans="1:12" ht="15.6" thickBot="1">
      <c r="A39" s="293"/>
      <c r="B39" s="2005" t="s">
        <v>40</v>
      </c>
      <c r="C39" s="2006"/>
      <c r="D39" s="2006"/>
      <c r="E39" s="563" t="s">
        <v>243</v>
      </c>
      <c r="F39" s="564" t="s">
        <v>244</v>
      </c>
      <c r="G39" s="564" t="s">
        <v>245</v>
      </c>
      <c r="H39" s="565" t="s">
        <v>246</v>
      </c>
      <c r="I39" s="563" t="s">
        <v>243</v>
      </c>
      <c r="J39" s="564" t="s">
        <v>244</v>
      </c>
      <c r="K39" s="564" t="s">
        <v>245</v>
      </c>
      <c r="L39" s="565" t="s">
        <v>246</v>
      </c>
    </row>
    <row r="40" spans="1:12" ht="80.099999999999994" customHeight="1">
      <c r="A40" s="293"/>
      <c r="B40" s="572" t="s">
        <v>152</v>
      </c>
      <c r="C40" s="573" t="s">
        <v>153</v>
      </c>
      <c r="D40" s="574"/>
      <c r="E40" s="578"/>
      <c r="F40" s="560"/>
      <c r="G40" s="559"/>
      <c r="H40" s="568"/>
      <c r="I40" s="578"/>
      <c r="J40" s="560"/>
      <c r="K40" s="559"/>
      <c r="L40" s="571"/>
    </row>
    <row r="41" spans="1:12" ht="80.099999999999994" customHeight="1">
      <c r="A41" s="293"/>
      <c r="B41" s="575" t="s">
        <v>156</v>
      </c>
      <c r="C41" s="558" t="s">
        <v>247</v>
      </c>
      <c r="D41" s="576"/>
      <c r="E41" s="578"/>
      <c r="F41" s="560"/>
      <c r="G41" s="559"/>
      <c r="H41" s="568"/>
      <c r="I41" s="578"/>
      <c r="J41" s="560"/>
      <c r="K41" s="559"/>
      <c r="L41" s="571"/>
    </row>
    <row r="42" spans="1:12" ht="80.099999999999994" customHeight="1">
      <c r="A42" s="293"/>
      <c r="B42" s="575" t="s">
        <v>159</v>
      </c>
      <c r="C42" s="558" t="s">
        <v>160</v>
      </c>
      <c r="D42" s="576"/>
      <c r="E42" s="578"/>
      <c r="F42" s="560"/>
      <c r="G42" s="560"/>
      <c r="H42" s="568"/>
      <c r="I42" s="578"/>
      <c r="J42" s="560"/>
      <c r="K42" s="560"/>
      <c r="L42" s="571"/>
    </row>
    <row r="43" spans="1:12" ht="80.099999999999994" customHeight="1">
      <c r="A43" s="293"/>
      <c r="B43" s="575" t="s">
        <v>163</v>
      </c>
      <c r="C43" s="558" t="s">
        <v>164</v>
      </c>
      <c r="D43" s="576"/>
      <c r="E43" s="578"/>
      <c r="F43" s="560"/>
      <c r="G43" s="559"/>
      <c r="H43" s="568"/>
      <c r="I43" s="578"/>
      <c r="J43" s="560"/>
      <c r="K43" s="559"/>
      <c r="L43" s="571"/>
    </row>
    <row r="44" spans="1:12" ht="80.099999999999994" customHeight="1">
      <c r="A44" s="293"/>
      <c r="B44" s="575" t="s">
        <v>165</v>
      </c>
      <c r="C44" s="558" t="s">
        <v>166</v>
      </c>
      <c r="D44" s="576"/>
      <c r="E44" s="578"/>
      <c r="F44" s="560"/>
      <c r="G44" s="559"/>
      <c r="H44" s="568"/>
      <c r="I44" s="578"/>
      <c r="J44" s="560"/>
      <c r="K44" s="559"/>
      <c r="L44" s="571"/>
    </row>
    <row r="45" spans="1:12" ht="80.099999999999994" customHeight="1" thickBot="1">
      <c r="A45" s="293"/>
      <c r="B45" s="577" t="s">
        <v>252</v>
      </c>
      <c r="C45" s="917" t="s">
        <v>40</v>
      </c>
      <c r="D45" s="919" t="s">
        <v>135</v>
      </c>
      <c r="E45" s="569"/>
      <c r="F45" s="562"/>
      <c r="G45" s="559"/>
      <c r="H45" s="568"/>
      <c r="I45" s="569"/>
      <c r="J45" s="562"/>
      <c r="K45" s="559"/>
      <c r="L45" s="571"/>
    </row>
    <row r="46" spans="1:12">
      <c r="A46" s="293"/>
      <c r="B46" s="2007" t="s">
        <v>250</v>
      </c>
      <c r="C46" s="2008"/>
      <c r="D46" s="2009"/>
      <c r="E46" s="2013">
        <f t="shared" ref="E46:L46" si="3">SUM(E40:E45)</f>
        <v>0</v>
      </c>
      <c r="F46" s="2015">
        <f t="shared" si="3"/>
        <v>0</v>
      </c>
      <c r="G46" s="2015">
        <f t="shared" si="3"/>
        <v>0</v>
      </c>
      <c r="H46" s="2017">
        <f t="shared" si="3"/>
        <v>0</v>
      </c>
      <c r="I46" s="2019">
        <f t="shared" si="3"/>
        <v>0</v>
      </c>
      <c r="J46" s="2021">
        <f t="shared" si="3"/>
        <v>0</v>
      </c>
      <c r="K46" s="2021">
        <f t="shared" si="3"/>
        <v>0</v>
      </c>
      <c r="L46" s="2023">
        <f t="shared" si="3"/>
        <v>0</v>
      </c>
    </row>
    <row r="47" spans="1:12" ht="13.8" thickBot="1">
      <c r="A47" s="293"/>
      <c r="B47" s="2010"/>
      <c r="C47" s="2011"/>
      <c r="D47" s="2012"/>
      <c r="E47" s="2014"/>
      <c r="F47" s="2016"/>
      <c r="G47" s="2016"/>
      <c r="H47" s="2018"/>
      <c r="I47" s="2020"/>
      <c r="J47" s="2022"/>
      <c r="K47" s="2022"/>
      <c r="L47" s="2024"/>
    </row>
    <row r="48" spans="1:12">
      <c r="A48" s="293"/>
      <c r="B48" s="293"/>
      <c r="C48" s="293"/>
      <c r="D48" s="293"/>
      <c r="E48" s="293"/>
      <c r="F48" s="293"/>
      <c r="G48" s="293"/>
      <c r="H48" s="293"/>
    </row>
    <row r="49" ht="15" customHeight="1"/>
  </sheetData>
  <mergeCells count="46">
    <mergeCell ref="B8:D11"/>
    <mergeCell ref="E8:G8"/>
    <mergeCell ref="E9:G9"/>
    <mergeCell ref="E10:G10"/>
    <mergeCell ref="E11:G11"/>
    <mergeCell ref="I13:L13"/>
    <mergeCell ref="B14:D14"/>
    <mergeCell ref="B20:D21"/>
    <mergeCell ref="E20:E21"/>
    <mergeCell ref="F20:F21"/>
    <mergeCell ref="G20:G21"/>
    <mergeCell ref="H20:H21"/>
    <mergeCell ref="I20:I21"/>
    <mergeCell ref="J20:J21"/>
    <mergeCell ref="K20:K21"/>
    <mergeCell ref="E13:H13"/>
    <mergeCell ref="L20:L21"/>
    <mergeCell ref="B23:D26"/>
    <mergeCell ref="E23:G23"/>
    <mergeCell ref="E24:G24"/>
    <mergeCell ref="E25:G25"/>
    <mergeCell ref="E26:G26"/>
    <mergeCell ref="E28:H28"/>
    <mergeCell ref="I28:L28"/>
    <mergeCell ref="B29:D29"/>
    <mergeCell ref="B35:D36"/>
    <mergeCell ref="E35:E36"/>
    <mergeCell ref="F35:F36"/>
    <mergeCell ref="G35:G36"/>
    <mergeCell ref="H35:H36"/>
    <mergeCell ref="I35:I36"/>
    <mergeCell ref="J35:J36"/>
    <mergeCell ref="K35:K36"/>
    <mergeCell ref="L35:L36"/>
    <mergeCell ref="E38:H38"/>
    <mergeCell ref="I38:L38"/>
    <mergeCell ref="B39:D39"/>
    <mergeCell ref="B46:D47"/>
    <mergeCell ref="E46:E47"/>
    <mergeCell ref="F46:F47"/>
    <mergeCell ref="G46:G47"/>
    <mergeCell ref="H46:H47"/>
    <mergeCell ref="I46:I47"/>
    <mergeCell ref="J46:J47"/>
    <mergeCell ref="K46:K47"/>
    <mergeCell ref="L46:L47"/>
  </mergeCells>
  <printOptions horizontalCentered="1"/>
  <pageMargins left="0" right="0" top="0" bottom="0" header="0" footer="0"/>
  <pageSetup paperSize="9" scale="71" orientation="landscape" r:id="rId1"/>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sheetPr>
  <dimension ref="A1:U126"/>
  <sheetViews>
    <sheetView zoomScale="55" zoomScaleNormal="55" workbookViewId="0">
      <pane xSplit="2" ySplit="8" topLeftCell="C9" activePane="bottomRight" state="frozen"/>
      <selection pane="topRight" activeCell="C1" sqref="C1"/>
      <selection pane="bottomLeft" activeCell="A9" sqref="A9"/>
      <selection pane="bottomRight" activeCell="G49" sqref="G49"/>
    </sheetView>
  </sheetViews>
  <sheetFormatPr defaultColWidth="9.33203125" defaultRowHeight="13.2"/>
  <cols>
    <col min="1" max="1" width="10.44140625" style="117" customWidth="1"/>
    <col min="2" max="2" width="45.44140625" style="117" customWidth="1"/>
    <col min="3" max="6" width="20.44140625" style="117" customWidth="1"/>
    <col min="7" max="7" width="26.44140625" style="117" bestFit="1" customWidth="1"/>
    <col min="8" max="8" width="20.44140625" style="117" customWidth="1"/>
    <col min="9" max="10" width="35.77734375" style="117" bestFit="1" customWidth="1"/>
    <col min="11" max="20" width="20.44140625" style="117" customWidth="1"/>
    <col min="21" max="21" width="13.33203125" style="117" bestFit="1" customWidth="1"/>
    <col min="22" max="16384" width="9.33203125" style="117"/>
  </cols>
  <sheetData>
    <row r="1" spans="1:21" s="1550" customFormat="1">
      <c r="A1" s="1550" t="s">
        <v>253</v>
      </c>
    </row>
    <row r="3" spans="1:21" s="99" customFormat="1">
      <c r="A3" s="120" t="s">
        <v>254</v>
      </c>
      <c r="B3" s="1413">
        <f>'City information'!$C$4</f>
        <v>0</v>
      </c>
      <c r="C3" s="120"/>
      <c r="D3" s="120"/>
      <c r="E3" s="120"/>
      <c r="F3" s="120"/>
      <c r="G3" s="120"/>
      <c r="H3" s="120"/>
      <c r="I3" s="120"/>
      <c r="J3" s="120"/>
      <c r="K3" s="120"/>
      <c r="L3" s="120"/>
      <c r="M3" s="120"/>
      <c r="N3" s="120"/>
      <c r="O3" s="120"/>
      <c r="P3" s="120"/>
      <c r="Q3" s="120"/>
      <c r="R3" s="120"/>
      <c r="S3" s="120"/>
      <c r="T3" s="120"/>
    </row>
    <row r="4" spans="1:21" s="99" customFormat="1">
      <c r="A4" s="120" t="s">
        <v>140</v>
      </c>
      <c r="B4" s="1413">
        <f>'City information'!$C$5</f>
        <v>2562</v>
      </c>
      <c r="C4" s="120"/>
      <c r="D4" s="120"/>
      <c r="E4" s="120"/>
      <c r="F4" s="120"/>
      <c r="G4" s="120"/>
      <c r="H4" s="120"/>
      <c r="I4" s="120"/>
      <c r="J4" s="120"/>
      <c r="K4" s="120"/>
      <c r="L4" s="120"/>
      <c r="M4" s="120"/>
      <c r="N4" s="120"/>
      <c r="O4" s="120"/>
      <c r="P4" s="120"/>
      <c r="Q4" s="120"/>
      <c r="R4" s="120"/>
      <c r="S4" s="120"/>
      <c r="T4" s="120"/>
    </row>
    <row r="6" spans="1:21" s="1552" customFormat="1" ht="13.8" thickBot="1">
      <c r="A6" s="1551">
        <v>1</v>
      </c>
      <c r="B6" s="1551" t="s">
        <v>255</v>
      </c>
      <c r="D6" s="1551"/>
      <c r="E6" s="1551"/>
      <c r="F6" s="1551"/>
      <c r="U6" s="587"/>
    </row>
    <row r="7" spans="1:21" ht="13.8" thickBot="1">
      <c r="B7" s="2053" t="s">
        <v>256</v>
      </c>
      <c r="C7" s="2057" t="s">
        <v>257</v>
      </c>
      <c r="D7" s="2058"/>
      <c r="E7" s="2058"/>
      <c r="F7" s="2058"/>
      <c r="G7" s="2058"/>
      <c r="H7" s="2058"/>
      <c r="I7" s="2058"/>
      <c r="J7" s="2058"/>
      <c r="K7" s="2058"/>
      <c r="L7" s="2059"/>
      <c r="M7" s="2060" t="s">
        <v>167</v>
      </c>
      <c r="N7" s="2060" t="s">
        <v>258</v>
      </c>
      <c r="O7" s="2062" t="s">
        <v>2575</v>
      </c>
      <c r="P7" s="2063"/>
      <c r="Q7" s="2063"/>
      <c r="R7" s="2064"/>
      <c r="S7" s="2060" t="s">
        <v>167</v>
      </c>
      <c r="T7" s="2060" t="s">
        <v>258</v>
      </c>
    </row>
    <row r="8" spans="1:21" ht="13.8" thickBot="1">
      <c r="B8" s="2054"/>
      <c r="C8" s="954" t="s">
        <v>260</v>
      </c>
      <c r="D8" s="946" t="s">
        <v>261</v>
      </c>
      <c r="E8" s="946" t="s">
        <v>262</v>
      </c>
      <c r="F8" s="946" t="s">
        <v>263</v>
      </c>
      <c r="G8" s="946" t="s">
        <v>264</v>
      </c>
      <c r="H8" s="946" t="s">
        <v>265</v>
      </c>
      <c r="I8" s="946" t="s">
        <v>266</v>
      </c>
      <c r="J8" s="946" t="s">
        <v>267</v>
      </c>
      <c r="K8" s="946" t="s">
        <v>268</v>
      </c>
      <c r="L8" s="947" t="s">
        <v>269</v>
      </c>
      <c r="M8" s="2061" t="s">
        <v>167</v>
      </c>
      <c r="N8" s="2061"/>
      <c r="O8" s="584" t="s">
        <v>270</v>
      </c>
      <c r="P8" s="943" t="s">
        <v>271</v>
      </c>
      <c r="Q8" s="584" t="s">
        <v>272</v>
      </c>
      <c r="R8" s="944" t="s">
        <v>273</v>
      </c>
      <c r="S8" s="2061" t="s">
        <v>167</v>
      </c>
      <c r="T8" s="2061"/>
    </row>
    <row r="9" spans="1:21" s="289" customFormat="1">
      <c r="B9" s="582" t="s">
        <v>274</v>
      </c>
      <c r="C9" s="1008"/>
      <c r="D9" s="1015"/>
      <c r="E9" s="1015"/>
      <c r="F9" s="1015"/>
      <c r="G9" s="1015"/>
      <c r="H9" s="1015"/>
      <c r="I9" s="1015"/>
      <c r="J9" s="1015"/>
      <c r="K9" s="1015"/>
      <c r="L9" s="1009"/>
      <c r="M9" s="948">
        <f t="shared" ref="M9:M33" si="0">SUM(C9:L9)-J9</f>
        <v>0</v>
      </c>
      <c r="N9" s="1159" t="s">
        <v>275</v>
      </c>
      <c r="O9" s="1015"/>
      <c r="P9" s="109">
        <f t="shared" ref="P9:P33" si="1">K9-O9</f>
        <v>0</v>
      </c>
      <c r="Q9" s="1015"/>
      <c r="R9" s="1015"/>
      <c r="S9" s="1159">
        <f t="shared" ref="S9:S33" si="2">SUM(O9:R9)</f>
        <v>0</v>
      </c>
      <c r="T9" s="1159" t="s">
        <v>275</v>
      </c>
      <c r="U9" s="117"/>
    </row>
    <row r="10" spans="1:21" s="99" customFormat="1">
      <c r="B10" s="582" t="s">
        <v>276</v>
      </c>
      <c r="C10" s="1008"/>
      <c r="D10" s="1015"/>
      <c r="E10" s="1015"/>
      <c r="F10" s="1015"/>
      <c r="G10" s="1015"/>
      <c r="H10" s="1015"/>
      <c r="I10" s="1015"/>
      <c r="J10" s="1015"/>
      <c r="K10" s="1015"/>
      <c r="L10" s="1009"/>
      <c r="M10" s="948">
        <f t="shared" si="0"/>
        <v>0</v>
      </c>
      <c r="N10" s="585" t="s">
        <v>275</v>
      </c>
      <c r="O10" s="1015"/>
      <c r="P10" s="109">
        <f t="shared" si="1"/>
        <v>0</v>
      </c>
      <c r="Q10" s="1015"/>
      <c r="R10" s="1015"/>
      <c r="S10" s="585">
        <f t="shared" si="2"/>
        <v>0</v>
      </c>
      <c r="T10" s="585" t="s">
        <v>275</v>
      </c>
    </row>
    <row r="11" spans="1:21" s="99" customFormat="1">
      <c r="B11" s="582" t="s">
        <v>2552</v>
      </c>
      <c r="C11" s="1008"/>
      <c r="D11" s="1015"/>
      <c r="E11" s="1015"/>
      <c r="F11" s="1015"/>
      <c r="G11" s="1015"/>
      <c r="H11" s="1015"/>
      <c r="I11" s="1015"/>
      <c r="J11" s="1015"/>
      <c r="K11" s="1015"/>
      <c r="L11" s="1009"/>
      <c r="M11" s="948">
        <f t="shared" si="0"/>
        <v>0</v>
      </c>
      <c r="N11" s="585" t="s">
        <v>275</v>
      </c>
      <c r="O11" s="1015"/>
      <c r="P11" s="109">
        <f t="shared" si="1"/>
        <v>0</v>
      </c>
      <c r="Q11" s="1015"/>
      <c r="R11" s="1015"/>
      <c r="S11" s="585">
        <f t="shared" si="2"/>
        <v>0</v>
      </c>
      <c r="T11" s="585" t="s">
        <v>275</v>
      </c>
    </row>
    <row r="12" spans="1:21" s="99" customFormat="1">
      <c r="B12" s="582" t="s">
        <v>2553</v>
      </c>
      <c r="C12" s="1008"/>
      <c r="D12" s="1015"/>
      <c r="E12" s="1015"/>
      <c r="F12" s="1015"/>
      <c r="G12" s="1015"/>
      <c r="H12" s="1015"/>
      <c r="I12" s="1015"/>
      <c r="J12" s="1015"/>
      <c r="K12" s="1015"/>
      <c r="L12" s="1009"/>
      <c r="M12" s="948">
        <f t="shared" si="0"/>
        <v>0</v>
      </c>
      <c r="N12" s="585" t="s">
        <v>275</v>
      </c>
      <c r="O12" s="1015"/>
      <c r="P12" s="109">
        <f t="shared" si="1"/>
        <v>0</v>
      </c>
      <c r="Q12" s="1015"/>
      <c r="R12" s="1015"/>
      <c r="S12" s="585">
        <f t="shared" si="2"/>
        <v>0</v>
      </c>
      <c r="T12" s="585" t="s">
        <v>275</v>
      </c>
    </row>
    <row r="13" spans="1:21" s="99" customFormat="1">
      <c r="B13" s="582" t="s">
        <v>277</v>
      </c>
      <c r="C13" s="1008"/>
      <c r="D13" s="1015"/>
      <c r="E13" s="1015"/>
      <c r="F13" s="1015"/>
      <c r="G13" s="1015"/>
      <c r="H13" s="1015"/>
      <c r="I13" s="1015"/>
      <c r="J13" s="1015"/>
      <c r="K13" s="1015"/>
      <c r="L13" s="1009"/>
      <c r="M13" s="948">
        <f t="shared" si="0"/>
        <v>0</v>
      </c>
      <c r="N13" s="585" t="s">
        <v>275</v>
      </c>
      <c r="O13" s="1015"/>
      <c r="P13" s="109">
        <f t="shared" si="1"/>
        <v>0</v>
      </c>
      <c r="Q13" s="1015"/>
      <c r="R13" s="1015"/>
      <c r="S13" s="585">
        <f t="shared" si="2"/>
        <v>0</v>
      </c>
      <c r="T13" s="585" t="s">
        <v>275</v>
      </c>
    </row>
    <row r="14" spans="1:21" s="99" customFormat="1">
      <c r="B14" s="582" t="s">
        <v>278</v>
      </c>
      <c r="C14" s="1008"/>
      <c r="D14" s="1015"/>
      <c r="E14" s="1015"/>
      <c r="F14" s="1015"/>
      <c r="G14" s="1015"/>
      <c r="H14" s="1015"/>
      <c r="I14" s="1015"/>
      <c r="J14" s="1010"/>
      <c r="K14" s="1015"/>
      <c r="L14" s="1009"/>
      <c r="M14" s="948">
        <f t="shared" si="0"/>
        <v>0</v>
      </c>
      <c r="N14" s="585" t="s">
        <v>275</v>
      </c>
      <c r="O14" s="1015"/>
      <c r="P14" s="109">
        <f t="shared" si="1"/>
        <v>0</v>
      </c>
      <c r="Q14" s="1015"/>
      <c r="R14" s="1015"/>
      <c r="S14" s="585">
        <f t="shared" si="2"/>
        <v>0</v>
      </c>
      <c r="T14" s="585" t="s">
        <v>275</v>
      </c>
    </row>
    <row r="15" spans="1:21" s="99" customFormat="1">
      <c r="B15" s="582" t="s">
        <v>279</v>
      </c>
      <c r="C15" s="1008"/>
      <c r="D15" s="1015"/>
      <c r="E15" s="1015"/>
      <c r="F15" s="1015"/>
      <c r="G15" s="1015"/>
      <c r="H15" s="1015"/>
      <c r="I15" s="1015"/>
      <c r="J15" s="1015"/>
      <c r="K15" s="1015"/>
      <c r="L15" s="1009"/>
      <c r="M15" s="948">
        <f t="shared" si="0"/>
        <v>0</v>
      </c>
      <c r="N15" s="585" t="s">
        <v>275</v>
      </c>
      <c r="O15" s="1015"/>
      <c r="P15" s="109">
        <f t="shared" si="1"/>
        <v>0</v>
      </c>
      <c r="Q15" s="1015"/>
      <c r="R15" s="1015"/>
      <c r="S15" s="585">
        <f t="shared" si="2"/>
        <v>0</v>
      </c>
      <c r="T15" s="585" t="s">
        <v>275</v>
      </c>
    </row>
    <row r="16" spans="1:21" s="99" customFormat="1">
      <c r="B16" s="582" t="s">
        <v>280</v>
      </c>
      <c r="C16" s="1008"/>
      <c r="D16" s="1015"/>
      <c r="E16" s="1015"/>
      <c r="F16" s="1015"/>
      <c r="G16" s="1015"/>
      <c r="H16" s="1015"/>
      <c r="I16" s="1015"/>
      <c r="J16" s="1015"/>
      <c r="K16" s="1015"/>
      <c r="L16" s="1009"/>
      <c r="M16" s="948">
        <f t="shared" si="0"/>
        <v>0</v>
      </c>
      <c r="N16" s="585" t="s">
        <v>275</v>
      </c>
      <c r="O16" s="1015"/>
      <c r="P16" s="109">
        <f t="shared" si="1"/>
        <v>0</v>
      </c>
      <c r="Q16" s="1015"/>
      <c r="R16" s="1015"/>
      <c r="S16" s="585">
        <f t="shared" si="2"/>
        <v>0</v>
      </c>
      <c r="T16" s="585" t="s">
        <v>275</v>
      </c>
    </row>
    <row r="17" spans="2:21" s="99" customFormat="1">
      <c r="B17" s="582" t="s">
        <v>281</v>
      </c>
      <c r="C17" s="1008"/>
      <c r="D17" s="1015"/>
      <c r="E17" s="1015"/>
      <c r="F17" s="1015"/>
      <c r="G17" s="1015"/>
      <c r="H17" s="1015"/>
      <c r="I17" s="1015"/>
      <c r="J17" s="1015"/>
      <c r="K17" s="1015"/>
      <c r="L17" s="1009"/>
      <c r="M17" s="948">
        <f t="shared" si="0"/>
        <v>0</v>
      </c>
      <c r="N17" s="585" t="s">
        <v>282</v>
      </c>
      <c r="O17" s="1015"/>
      <c r="P17" s="109">
        <f t="shared" si="1"/>
        <v>0</v>
      </c>
      <c r="Q17" s="1015"/>
      <c r="R17" s="1015"/>
      <c r="S17" s="585">
        <f t="shared" si="2"/>
        <v>0</v>
      </c>
      <c r="T17" s="585" t="s">
        <v>282</v>
      </c>
    </row>
    <row r="18" spans="2:21" s="99" customFormat="1">
      <c r="B18" s="582" t="s">
        <v>283</v>
      </c>
      <c r="C18" s="1008"/>
      <c r="D18" s="1015"/>
      <c r="E18" s="1015"/>
      <c r="F18" s="1015"/>
      <c r="G18" s="1015"/>
      <c r="H18" s="1015"/>
      <c r="I18" s="1015"/>
      <c r="J18" s="1015"/>
      <c r="K18" s="1015"/>
      <c r="L18" s="1009"/>
      <c r="M18" s="948">
        <f t="shared" si="0"/>
        <v>0</v>
      </c>
      <c r="N18" s="585" t="s">
        <v>275</v>
      </c>
      <c r="O18" s="1015"/>
      <c r="P18" s="109">
        <f t="shared" si="1"/>
        <v>0</v>
      </c>
      <c r="Q18" s="1015"/>
      <c r="R18" s="1015"/>
      <c r="S18" s="585">
        <f t="shared" si="2"/>
        <v>0</v>
      </c>
      <c r="T18" s="585" t="s">
        <v>275</v>
      </c>
    </row>
    <row r="19" spans="2:21" s="99" customFormat="1">
      <c r="B19" s="582" t="s">
        <v>284</v>
      </c>
      <c r="C19" s="1008"/>
      <c r="D19" s="1015"/>
      <c r="E19" s="1015"/>
      <c r="F19" s="1015"/>
      <c r="G19" s="1015"/>
      <c r="H19" s="1015"/>
      <c r="I19" s="1015"/>
      <c r="J19" s="1015"/>
      <c r="K19" s="1015"/>
      <c r="L19" s="1009"/>
      <c r="M19" s="948">
        <f t="shared" si="0"/>
        <v>0</v>
      </c>
      <c r="N19" s="585" t="s">
        <v>275</v>
      </c>
      <c r="O19" s="1015"/>
      <c r="P19" s="109">
        <f t="shared" si="1"/>
        <v>0</v>
      </c>
      <c r="Q19" s="1015"/>
      <c r="R19" s="1015"/>
      <c r="S19" s="585">
        <f t="shared" si="2"/>
        <v>0</v>
      </c>
      <c r="T19" s="585" t="s">
        <v>275</v>
      </c>
    </row>
    <row r="20" spans="2:21" s="99" customFormat="1">
      <c r="B20" s="582" t="s">
        <v>285</v>
      </c>
      <c r="C20" s="1008"/>
      <c r="D20" s="1015"/>
      <c r="E20" s="1015"/>
      <c r="F20" s="1015"/>
      <c r="G20" s="1015"/>
      <c r="H20" s="1015"/>
      <c r="I20" s="1015"/>
      <c r="J20" s="1015"/>
      <c r="K20" s="1015"/>
      <c r="L20" s="1009"/>
      <c r="M20" s="948">
        <f t="shared" si="0"/>
        <v>0</v>
      </c>
      <c r="N20" s="585" t="s">
        <v>275</v>
      </c>
      <c r="O20" s="1015"/>
      <c r="P20" s="109">
        <f>K20-O20</f>
        <v>0</v>
      </c>
      <c r="Q20" s="1015"/>
      <c r="R20" s="1015"/>
      <c r="S20" s="585">
        <f t="shared" si="2"/>
        <v>0</v>
      </c>
      <c r="T20" s="585" t="s">
        <v>275</v>
      </c>
    </row>
    <row r="21" spans="2:21" s="289" customFormat="1">
      <c r="B21" s="582" t="s">
        <v>286</v>
      </c>
      <c r="C21" s="1008"/>
      <c r="D21" s="1015"/>
      <c r="E21" s="1015"/>
      <c r="F21" s="1015"/>
      <c r="G21" s="1015"/>
      <c r="H21" s="1015"/>
      <c r="I21" s="1015"/>
      <c r="J21" s="1015"/>
      <c r="K21" s="1015"/>
      <c r="L21" s="1009"/>
      <c r="M21" s="948">
        <f t="shared" si="0"/>
        <v>0</v>
      </c>
      <c r="N21" s="585" t="s">
        <v>275</v>
      </c>
      <c r="O21" s="1015"/>
      <c r="P21" s="109">
        <f t="shared" si="1"/>
        <v>0</v>
      </c>
      <c r="Q21" s="1015"/>
      <c r="R21" s="1015"/>
      <c r="S21" s="585">
        <f t="shared" si="2"/>
        <v>0</v>
      </c>
      <c r="T21" s="585" t="s">
        <v>275</v>
      </c>
      <c r="U21" s="117"/>
    </row>
    <row r="22" spans="2:21" s="289" customFormat="1">
      <c r="B22" s="582" t="s">
        <v>287</v>
      </c>
      <c r="C22" s="1008"/>
      <c r="D22" s="1015"/>
      <c r="E22" s="1015"/>
      <c r="F22" s="1015"/>
      <c r="G22" s="1015"/>
      <c r="H22" s="1015"/>
      <c r="I22" s="1015"/>
      <c r="J22" s="1015"/>
      <c r="K22" s="1015"/>
      <c r="L22" s="1009"/>
      <c r="M22" s="948">
        <f t="shared" si="0"/>
        <v>0</v>
      </c>
      <c r="N22" s="585" t="s">
        <v>275</v>
      </c>
      <c r="O22" s="1015"/>
      <c r="P22" s="109">
        <f t="shared" si="1"/>
        <v>0</v>
      </c>
      <c r="Q22" s="1015"/>
      <c r="R22" s="1015"/>
      <c r="S22" s="585">
        <f t="shared" si="2"/>
        <v>0</v>
      </c>
      <c r="T22" s="585" t="s">
        <v>275</v>
      </c>
      <c r="U22" s="117"/>
    </row>
    <row r="23" spans="2:21">
      <c r="B23" s="583" t="s">
        <v>288</v>
      </c>
      <c r="C23" s="1011"/>
      <c r="D23" s="1016"/>
      <c r="E23" s="1016"/>
      <c r="F23" s="1016"/>
      <c r="G23" s="1016"/>
      <c r="H23" s="1016"/>
      <c r="I23" s="1016"/>
      <c r="J23" s="1016"/>
      <c r="K23" s="1016"/>
      <c r="L23" s="1012"/>
      <c r="M23" s="949">
        <f t="shared" si="0"/>
        <v>0</v>
      </c>
      <c r="N23" s="955" t="s">
        <v>275</v>
      </c>
      <c r="O23" s="1016"/>
      <c r="P23" s="945">
        <f>K23-O23</f>
        <v>0</v>
      </c>
      <c r="Q23" s="1016"/>
      <c r="R23" s="1016"/>
      <c r="S23" s="955">
        <f t="shared" si="2"/>
        <v>0</v>
      </c>
      <c r="T23" s="955" t="s">
        <v>275</v>
      </c>
    </row>
    <row r="24" spans="2:21" s="99" customFormat="1">
      <c r="B24" s="582" t="s">
        <v>290</v>
      </c>
      <c r="C24" s="1008"/>
      <c r="D24" s="1015"/>
      <c r="E24" s="1015"/>
      <c r="F24" s="1015"/>
      <c r="G24" s="1015"/>
      <c r="H24" s="1015"/>
      <c r="I24" s="1015"/>
      <c r="J24" s="1015"/>
      <c r="K24" s="1015"/>
      <c r="L24" s="1009"/>
      <c r="M24" s="948">
        <f>SUM(C24:L24)-J24</f>
        <v>0</v>
      </c>
      <c r="N24" s="585" t="s">
        <v>275</v>
      </c>
      <c r="O24" s="1015"/>
      <c r="P24" s="109">
        <f>K24-O24</f>
        <v>0</v>
      </c>
      <c r="Q24" s="1015"/>
      <c r="R24" s="1015"/>
      <c r="S24" s="585">
        <f>SUM(O24:R24)</f>
        <v>0</v>
      </c>
      <c r="T24" s="585" t="s">
        <v>275</v>
      </c>
    </row>
    <row r="25" spans="2:21" s="99" customFormat="1">
      <c r="B25" s="582" t="s">
        <v>289</v>
      </c>
      <c r="C25" s="1008"/>
      <c r="D25" s="1015"/>
      <c r="E25" s="1015"/>
      <c r="F25" s="1015"/>
      <c r="G25" s="1015"/>
      <c r="H25" s="1015"/>
      <c r="I25" s="1015"/>
      <c r="J25" s="1015"/>
      <c r="K25" s="1015"/>
      <c r="L25" s="1009"/>
      <c r="M25" s="948">
        <f t="shared" si="0"/>
        <v>0</v>
      </c>
      <c r="N25" s="585" t="s">
        <v>275</v>
      </c>
      <c r="O25" s="1015"/>
      <c r="P25" s="109">
        <f t="shared" si="1"/>
        <v>0</v>
      </c>
      <c r="Q25" s="1015"/>
      <c r="R25" s="1015"/>
      <c r="S25" s="585">
        <f t="shared" si="2"/>
        <v>0</v>
      </c>
      <c r="T25" s="585" t="s">
        <v>275</v>
      </c>
    </row>
    <row r="26" spans="2:21" s="99" customFormat="1">
      <c r="B26" s="582" t="s">
        <v>291</v>
      </c>
      <c r="C26" s="1008"/>
      <c r="D26" s="1015"/>
      <c r="E26" s="1015"/>
      <c r="F26" s="1015"/>
      <c r="G26" s="1015"/>
      <c r="H26" s="1015"/>
      <c r="I26" s="1015"/>
      <c r="J26" s="1015"/>
      <c r="K26" s="1015"/>
      <c r="L26" s="1009"/>
      <c r="M26" s="948">
        <f t="shared" si="0"/>
        <v>0</v>
      </c>
      <c r="N26" s="585" t="s">
        <v>275</v>
      </c>
      <c r="O26" s="1015"/>
      <c r="P26" s="109">
        <f t="shared" si="1"/>
        <v>0</v>
      </c>
      <c r="Q26" s="1015"/>
      <c r="R26" s="1015"/>
      <c r="S26" s="585">
        <f t="shared" si="2"/>
        <v>0</v>
      </c>
      <c r="T26" s="585" t="s">
        <v>275</v>
      </c>
    </row>
    <row r="27" spans="2:21" s="99" customFormat="1">
      <c r="B27" s="582" t="s">
        <v>292</v>
      </c>
      <c r="C27" s="1008"/>
      <c r="D27" s="1015"/>
      <c r="E27" s="1015"/>
      <c r="F27" s="1015"/>
      <c r="G27" s="1015"/>
      <c r="H27" s="1015"/>
      <c r="I27" s="1015"/>
      <c r="J27" s="1015"/>
      <c r="K27" s="1015"/>
      <c r="L27" s="1009"/>
      <c r="M27" s="948">
        <f t="shared" si="0"/>
        <v>0</v>
      </c>
      <c r="N27" s="585" t="s">
        <v>275</v>
      </c>
      <c r="O27" s="1015"/>
      <c r="P27" s="109">
        <f t="shared" si="1"/>
        <v>0</v>
      </c>
      <c r="Q27" s="1015"/>
      <c r="R27" s="1015"/>
      <c r="S27" s="585">
        <f t="shared" si="2"/>
        <v>0</v>
      </c>
      <c r="T27" s="585" t="s">
        <v>275</v>
      </c>
    </row>
    <row r="28" spans="2:21" s="99" customFormat="1">
      <c r="B28" s="582" t="s">
        <v>293</v>
      </c>
      <c r="C28" s="1008"/>
      <c r="D28" s="1015"/>
      <c r="E28" s="1015"/>
      <c r="F28" s="1015"/>
      <c r="G28" s="1015"/>
      <c r="H28" s="1015"/>
      <c r="I28" s="1015"/>
      <c r="J28" s="1015"/>
      <c r="K28" s="1015"/>
      <c r="L28" s="1009"/>
      <c r="M28" s="948">
        <f t="shared" si="0"/>
        <v>0</v>
      </c>
      <c r="N28" s="585" t="s">
        <v>275</v>
      </c>
      <c r="O28" s="1015"/>
      <c r="P28" s="109">
        <f t="shared" si="1"/>
        <v>0</v>
      </c>
      <c r="Q28" s="1015"/>
      <c r="R28" s="1015"/>
      <c r="S28" s="585">
        <f t="shared" si="2"/>
        <v>0</v>
      </c>
      <c r="T28" s="585" t="s">
        <v>275</v>
      </c>
    </row>
    <row r="29" spans="2:21" s="99" customFormat="1">
      <c r="B29" s="582" t="s">
        <v>294</v>
      </c>
      <c r="C29" s="1008"/>
      <c r="D29" s="1015"/>
      <c r="E29" s="1015"/>
      <c r="F29" s="1015"/>
      <c r="G29" s="1015"/>
      <c r="H29" s="1015"/>
      <c r="I29" s="1015"/>
      <c r="J29" s="1015"/>
      <c r="K29" s="1015"/>
      <c r="L29" s="1009"/>
      <c r="M29" s="948">
        <f t="shared" si="0"/>
        <v>0</v>
      </c>
      <c r="N29" s="585" t="s">
        <v>275</v>
      </c>
      <c r="O29" s="1015"/>
      <c r="P29" s="109">
        <f t="shared" si="1"/>
        <v>0</v>
      </c>
      <c r="Q29" s="1015"/>
      <c r="R29" s="1015"/>
      <c r="S29" s="585">
        <f t="shared" si="2"/>
        <v>0</v>
      </c>
      <c r="T29" s="585" t="s">
        <v>275</v>
      </c>
    </row>
    <row r="30" spans="2:21" s="99" customFormat="1">
      <c r="B30" s="582" t="s">
        <v>295</v>
      </c>
      <c r="C30" s="1008"/>
      <c r="D30" s="1015"/>
      <c r="E30" s="1015"/>
      <c r="F30" s="1015"/>
      <c r="G30" s="1015"/>
      <c r="H30" s="1015"/>
      <c r="I30" s="1015"/>
      <c r="J30" s="1015"/>
      <c r="K30" s="1015"/>
      <c r="L30" s="1009"/>
      <c r="M30" s="948">
        <f t="shared" si="0"/>
        <v>0</v>
      </c>
      <c r="N30" s="585" t="s">
        <v>282</v>
      </c>
      <c r="O30" s="1015"/>
      <c r="P30" s="109">
        <f t="shared" si="1"/>
        <v>0</v>
      </c>
      <c r="Q30" s="1015"/>
      <c r="R30" s="1015"/>
      <c r="S30" s="585">
        <f t="shared" si="2"/>
        <v>0</v>
      </c>
      <c r="T30" s="585" t="s">
        <v>282</v>
      </c>
    </row>
    <row r="31" spans="2:21" s="289" customFormat="1">
      <c r="B31" s="582" t="s">
        <v>296</v>
      </c>
      <c r="C31" s="1008"/>
      <c r="D31" s="1015"/>
      <c r="E31" s="1015"/>
      <c r="F31" s="1015"/>
      <c r="G31" s="1015"/>
      <c r="H31" s="1015"/>
      <c r="I31" s="1015"/>
      <c r="J31" s="1015"/>
      <c r="K31" s="1015"/>
      <c r="L31" s="1009"/>
      <c r="M31" s="948">
        <f t="shared" si="0"/>
        <v>0</v>
      </c>
      <c r="N31" s="585" t="s">
        <v>282</v>
      </c>
      <c r="O31" s="1015"/>
      <c r="P31" s="109">
        <f t="shared" si="1"/>
        <v>0</v>
      </c>
      <c r="Q31" s="1015"/>
      <c r="R31" s="1015"/>
      <c r="S31" s="585">
        <f t="shared" si="2"/>
        <v>0</v>
      </c>
      <c r="T31" s="585" t="s">
        <v>282</v>
      </c>
      <c r="U31" s="117"/>
    </row>
    <row r="32" spans="2:21" s="99" customFormat="1">
      <c r="B32" s="582" t="s">
        <v>297</v>
      </c>
      <c r="C32" s="1008"/>
      <c r="D32" s="1015"/>
      <c r="E32" s="1015"/>
      <c r="F32" s="1015"/>
      <c r="G32" s="1015"/>
      <c r="H32" s="1015"/>
      <c r="I32" s="1015"/>
      <c r="J32" s="1015"/>
      <c r="K32" s="1015"/>
      <c r="L32" s="1009"/>
      <c r="M32" s="948">
        <f t="shared" si="0"/>
        <v>0</v>
      </c>
      <c r="N32" s="585" t="s">
        <v>275</v>
      </c>
      <c r="O32" s="1015"/>
      <c r="P32" s="109">
        <f t="shared" si="1"/>
        <v>0</v>
      </c>
      <c r="Q32" s="1015"/>
      <c r="R32" s="1015"/>
      <c r="S32" s="585">
        <f t="shared" si="2"/>
        <v>0</v>
      </c>
      <c r="T32" s="585" t="s">
        <v>275</v>
      </c>
    </row>
    <row r="33" spans="2:21" s="99" customFormat="1" ht="13.8" thickBot="1">
      <c r="B33" s="950" t="s">
        <v>298</v>
      </c>
      <c r="C33" s="1013"/>
      <c r="D33" s="1094"/>
      <c r="E33" s="1094"/>
      <c r="F33" s="1094"/>
      <c r="G33" s="1094"/>
      <c r="H33" s="1094"/>
      <c r="I33" s="1094"/>
      <c r="J33" s="1094"/>
      <c r="K33" s="1094"/>
      <c r="L33" s="1095"/>
      <c r="M33" s="1096">
        <f t="shared" si="0"/>
        <v>0</v>
      </c>
      <c r="N33" s="942" t="s">
        <v>275</v>
      </c>
      <c r="O33" s="1094"/>
      <c r="P33" s="1097">
        <f t="shared" si="1"/>
        <v>0</v>
      </c>
      <c r="Q33" s="1094"/>
      <c r="R33" s="1094"/>
      <c r="S33" s="942">
        <f t="shared" si="2"/>
        <v>0</v>
      </c>
      <c r="T33" s="942" t="s">
        <v>275</v>
      </c>
    </row>
    <row r="34" spans="2:21" ht="13.8" thickBot="1">
      <c r="C34" s="945"/>
      <c r="D34" s="945"/>
      <c r="E34" s="945"/>
      <c r="F34" s="945"/>
      <c r="G34" s="945"/>
      <c r="H34" s="945"/>
      <c r="I34" s="945"/>
      <c r="J34" s="945"/>
      <c r="K34" s="945"/>
      <c r="L34" s="945"/>
      <c r="M34" s="710"/>
      <c r="N34" s="710"/>
      <c r="O34" s="710"/>
      <c r="P34" s="710"/>
      <c r="Q34" s="710"/>
      <c r="R34" s="710"/>
      <c r="S34" s="710"/>
      <c r="T34" s="710"/>
      <c r="U34" s="710"/>
    </row>
    <row r="35" spans="2:21">
      <c r="B35" s="2051" t="s">
        <v>2</v>
      </c>
      <c r="C35" s="2066" t="s">
        <v>299</v>
      </c>
      <c r="D35" s="2067"/>
      <c r="E35" s="2067"/>
      <c r="F35" s="2067"/>
      <c r="G35" s="2067"/>
      <c r="H35" s="2067"/>
      <c r="I35" s="2067"/>
      <c r="J35" s="2067"/>
      <c r="K35" s="2067"/>
      <c r="L35" s="2067"/>
      <c r="M35" s="2067"/>
      <c r="N35" s="2067"/>
      <c r="O35" s="2068"/>
      <c r="P35" s="2051" t="s">
        <v>167</v>
      </c>
      <c r="Q35" s="1007" t="s">
        <v>300</v>
      </c>
      <c r="R35" s="118">
        <f>SUM(M9:M33)-M18-M19-M20-M21-M22-M17-M31</f>
        <v>0</v>
      </c>
    </row>
    <row r="36" spans="2:21">
      <c r="B36" s="2052"/>
      <c r="C36" s="581" t="s">
        <v>301</v>
      </c>
      <c r="D36" s="581" t="s">
        <v>302</v>
      </c>
      <c r="E36" s="581" t="s">
        <v>303</v>
      </c>
      <c r="F36" s="581" t="s">
        <v>294</v>
      </c>
      <c r="G36" s="581" t="s">
        <v>298</v>
      </c>
      <c r="H36" s="581" t="s">
        <v>288</v>
      </c>
      <c r="I36" s="581" t="s">
        <v>2552</v>
      </c>
      <c r="J36" s="581" t="s">
        <v>2553</v>
      </c>
      <c r="K36" s="581" t="s">
        <v>304</v>
      </c>
      <c r="L36" s="581" t="s">
        <v>305</v>
      </c>
      <c r="M36" s="581" t="s">
        <v>306</v>
      </c>
      <c r="N36" s="581" t="s">
        <v>307</v>
      </c>
      <c r="O36" s="581" t="s">
        <v>308</v>
      </c>
      <c r="P36" s="2065"/>
      <c r="R36" s="118">
        <f>(P52-N52-O52)/10^3</f>
        <v>0</v>
      </c>
    </row>
    <row r="37" spans="2:21">
      <c r="B37" s="2052"/>
      <c r="C37" s="953" t="s">
        <v>309</v>
      </c>
      <c r="D37" s="953" t="s">
        <v>310</v>
      </c>
      <c r="E37" s="953" t="s">
        <v>310</v>
      </c>
      <c r="F37" s="953" t="s">
        <v>310</v>
      </c>
      <c r="G37" s="953" t="s">
        <v>310</v>
      </c>
      <c r="H37" s="953" t="s">
        <v>310</v>
      </c>
      <c r="I37" s="953" t="s">
        <v>310</v>
      </c>
      <c r="J37" s="953" t="s">
        <v>310</v>
      </c>
      <c r="K37" s="953" t="s">
        <v>310</v>
      </c>
      <c r="L37" s="953" t="s">
        <v>310</v>
      </c>
      <c r="M37" s="953" t="s">
        <v>310</v>
      </c>
      <c r="N37" s="953" t="s">
        <v>2557</v>
      </c>
      <c r="O37" s="953" t="s">
        <v>309</v>
      </c>
      <c r="P37" s="952"/>
      <c r="R37" s="118">
        <f>R35-R36</f>
        <v>0</v>
      </c>
    </row>
    <row r="38" spans="2:21">
      <c r="B38" s="595" t="s">
        <v>311</v>
      </c>
      <c r="C38" s="586"/>
      <c r="D38" s="586"/>
      <c r="E38" s="586"/>
      <c r="F38" s="587"/>
      <c r="G38" s="587"/>
      <c r="H38" s="586"/>
      <c r="I38" s="586"/>
      <c r="J38" s="586"/>
      <c r="K38" s="586"/>
      <c r="L38" s="586"/>
      <c r="M38" s="586"/>
      <c r="N38" s="587"/>
      <c r="O38" s="587"/>
      <c r="P38" s="591"/>
    </row>
    <row r="39" spans="2:21">
      <c r="B39" s="596" t="s">
        <v>312</v>
      </c>
      <c r="C39" s="118">
        <f>O30*10^3</f>
        <v>0</v>
      </c>
      <c r="D39" s="118">
        <f>(O9+O10+O13+O14)*10^3</f>
        <v>0</v>
      </c>
      <c r="E39" s="118">
        <f>(O15+O16)*10^3</f>
        <v>0</v>
      </c>
      <c r="F39" s="945">
        <f>O29*10^3</f>
        <v>0</v>
      </c>
      <c r="G39" s="117">
        <f>(O32+O33)*10^3</f>
        <v>0</v>
      </c>
      <c r="H39" s="945">
        <f>O23*10^3</f>
        <v>0</v>
      </c>
      <c r="I39" s="945">
        <f>O11*10^3</f>
        <v>0</v>
      </c>
      <c r="J39" s="945">
        <f>O12*10^3</f>
        <v>0</v>
      </c>
      <c r="K39" s="118">
        <f>SUM(O26:O28)*10^3</f>
        <v>0</v>
      </c>
      <c r="L39" s="945">
        <f>O24*10^3</f>
        <v>0</v>
      </c>
      <c r="M39" s="945">
        <f>O25*10^3</f>
        <v>0</v>
      </c>
      <c r="N39" s="945">
        <f>C79</f>
        <v>0</v>
      </c>
      <c r="O39" s="945">
        <f>C80</f>
        <v>0</v>
      </c>
      <c r="P39" s="592">
        <f>SUM(C39:O39)</f>
        <v>0</v>
      </c>
    </row>
    <row r="40" spans="2:21">
      <c r="B40" s="596" t="s">
        <v>313</v>
      </c>
      <c r="C40" s="118">
        <f>(P30+H30)*10^3</f>
        <v>0</v>
      </c>
      <c r="D40" s="118">
        <f>(P9+P10+P13+P14+H9+H10+H13+H14)*10^3</f>
        <v>0</v>
      </c>
      <c r="E40" s="118">
        <f>(P15+P16+H15+H16)*10^3</f>
        <v>0</v>
      </c>
      <c r="F40" s="945">
        <f>P29*10^3</f>
        <v>0</v>
      </c>
      <c r="G40" s="117">
        <f>(P32+P33+H32+H33)*10^3</f>
        <v>0</v>
      </c>
      <c r="H40" s="945">
        <f>(P23+H23)*10^3</f>
        <v>0</v>
      </c>
      <c r="I40" s="945">
        <f>(P11+H11)*10^3</f>
        <v>0</v>
      </c>
      <c r="J40" s="945">
        <f>(P12+H12)*10^3</f>
        <v>0</v>
      </c>
      <c r="K40" s="118">
        <f>(SUM(P26:P28)+SUM(H26:H28))*10^3</f>
        <v>0</v>
      </c>
      <c r="L40" s="945">
        <f>(P24+H24)*10^3</f>
        <v>0</v>
      </c>
      <c r="M40" s="945">
        <f>(P25+H25)*10^3</f>
        <v>0</v>
      </c>
      <c r="N40" s="945">
        <f>D79</f>
        <v>0</v>
      </c>
      <c r="O40" s="945">
        <f>D80</f>
        <v>0</v>
      </c>
      <c r="P40" s="592">
        <f t="shared" ref="P40:P51" si="3">SUM(C40:O40)</f>
        <v>0</v>
      </c>
    </row>
    <row r="41" spans="2:21">
      <c r="B41" s="596" t="s">
        <v>314</v>
      </c>
      <c r="C41" s="118">
        <f>F30*10^3</f>
        <v>0</v>
      </c>
      <c r="D41" s="118">
        <f>(F9+F10+F13+F14)*10^3</f>
        <v>0</v>
      </c>
      <c r="E41" s="118">
        <f>(F15+F16)*10^3</f>
        <v>0</v>
      </c>
      <c r="F41" s="945">
        <f>F29*10^3</f>
        <v>0</v>
      </c>
      <c r="G41" s="118">
        <f>(F32+F33)*10^3</f>
        <v>0</v>
      </c>
      <c r="H41" s="945">
        <f>F23*10^3</f>
        <v>0</v>
      </c>
      <c r="I41" s="945">
        <f>F11*10^3</f>
        <v>0</v>
      </c>
      <c r="J41" s="945">
        <f>F12*10^3</f>
        <v>0</v>
      </c>
      <c r="K41" s="118">
        <f>SUM(F26:F28)*10^3</f>
        <v>0</v>
      </c>
      <c r="L41" s="945">
        <f>F24*10^3</f>
        <v>0</v>
      </c>
      <c r="M41" s="945">
        <f>F25*10^3</f>
        <v>0</v>
      </c>
      <c r="N41" s="945">
        <f>F79</f>
        <v>0</v>
      </c>
      <c r="O41" s="945">
        <f>F80</f>
        <v>0</v>
      </c>
      <c r="P41" s="592">
        <f t="shared" si="3"/>
        <v>0</v>
      </c>
    </row>
    <row r="42" spans="2:21">
      <c r="B42" s="596" t="s">
        <v>315</v>
      </c>
      <c r="C42" s="118">
        <f>G30</f>
        <v>0</v>
      </c>
      <c r="D42" s="118">
        <f>(G9+G10+G13+G14)*10^3</f>
        <v>0</v>
      </c>
      <c r="E42" s="118">
        <f>(G15+G16)*10^3</f>
        <v>0</v>
      </c>
      <c r="F42" s="945">
        <f>G29*10^3</f>
        <v>0</v>
      </c>
      <c r="G42" s="118">
        <f>(G32+G33)*10^3</f>
        <v>0</v>
      </c>
      <c r="H42" s="945">
        <f>G23*10^3</f>
        <v>0</v>
      </c>
      <c r="I42" s="945">
        <f>G11*10^3</f>
        <v>0</v>
      </c>
      <c r="J42" s="945">
        <f>G12*10^3</f>
        <v>0</v>
      </c>
      <c r="K42" s="118">
        <f>SUM(G26:G28)*10^3</f>
        <v>0</v>
      </c>
      <c r="L42" s="945">
        <f>G24*10^3</f>
        <v>0</v>
      </c>
      <c r="M42" s="945">
        <f>G25*10^3</f>
        <v>0</v>
      </c>
      <c r="N42" s="945">
        <v>0</v>
      </c>
      <c r="O42" s="945">
        <v>0</v>
      </c>
      <c r="P42" s="592">
        <f t="shared" si="3"/>
        <v>0</v>
      </c>
    </row>
    <row r="43" spans="2:21">
      <c r="B43" s="596" t="s">
        <v>316</v>
      </c>
      <c r="C43" s="118">
        <f>R30</f>
        <v>0</v>
      </c>
      <c r="D43" s="118">
        <f>(R9+R10+R13+R14)*10^3</f>
        <v>0</v>
      </c>
      <c r="E43" s="118">
        <f>(R15+R16)*10^3</f>
        <v>0</v>
      </c>
      <c r="F43" s="945">
        <f>R29*10^3</f>
        <v>0</v>
      </c>
      <c r="G43" s="118">
        <f>(R32+R33)*10^3</f>
        <v>0</v>
      </c>
      <c r="H43" s="945">
        <f>R23*10^3</f>
        <v>0</v>
      </c>
      <c r="I43" s="945">
        <f>R11*10^3</f>
        <v>0</v>
      </c>
      <c r="J43" s="945">
        <f>R12*10^3</f>
        <v>0</v>
      </c>
      <c r="K43" s="118">
        <f>SUM(R26:R28)*10^3</f>
        <v>0</v>
      </c>
      <c r="L43" s="945">
        <f>R24*10^3</f>
        <v>0</v>
      </c>
      <c r="M43" s="945">
        <f>R25*10^3</f>
        <v>0</v>
      </c>
      <c r="N43" s="945">
        <f>H79+I79</f>
        <v>0</v>
      </c>
      <c r="O43" s="945">
        <f>H80+I80</f>
        <v>0</v>
      </c>
      <c r="P43" s="592">
        <f t="shared" si="3"/>
        <v>0</v>
      </c>
    </row>
    <row r="44" spans="2:21">
      <c r="B44" s="596" t="s">
        <v>317</v>
      </c>
      <c r="C44" s="118">
        <f>Q30</f>
        <v>0</v>
      </c>
      <c r="D44" s="118">
        <f>(Q9+Q10+Q13+Q14)*10^3</f>
        <v>0</v>
      </c>
      <c r="E44" s="118">
        <f>(Q15+Q16)*10^3</f>
        <v>0</v>
      </c>
      <c r="F44" s="945">
        <f>Q29*10^3</f>
        <v>0</v>
      </c>
      <c r="G44" s="118">
        <f>(Q32+Q33)*10^3</f>
        <v>0</v>
      </c>
      <c r="H44" s="945">
        <f>Q23*10^3</f>
        <v>0</v>
      </c>
      <c r="I44" s="945">
        <f>Q11*10^3</f>
        <v>0</v>
      </c>
      <c r="J44" s="945">
        <f>Q12*10^3</f>
        <v>0</v>
      </c>
      <c r="K44" s="118">
        <f>SUM(Q26:Q28)*10^3</f>
        <v>0</v>
      </c>
      <c r="L44" s="945">
        <f>Q24*10^3</f>
        <v>0</v>
      </c>
      <c r="M44" s="945">
        <f>Q25*10^3</f>
        <v>0</v>
      </c>
      <c r="N44" s="945">
        <f>E79</f>
        <v>0</v>
      </c>
      <c r="O44" s="945">
        <f>E80</f>
        <v>0</v>
      </c>
      <c r="P44" s="592">
        <f t="shared" si="3"/>
        <v>0</v>
      </c>
    </row>
    <row r="45" spans="2:21">
      <c r="B45" s="596" t="s">
        <v>318</v>
      </c>
      <c r="C45" s="118">
        <f>I30</f>
        <v>0</v>
      </c>
      <c r="D45" s="118">
        <f>(I9+I10+I13+I14)*10^3</f>
        <v>0</v>
      </c>
      <c r="E45" s="118">
        <f>(I15+I16)*10^3</f>
        <v>0</v>
      </c>
      <c r="F45" s="945">
        <f>I29*10^3</f>
        <v>0</v>
      </c>
      <c r="G45" s="118">
        <f>(I32+I33)*10^3</f>
        <v>0</v>
      </c>
      <c r="H45" s="945">
        <f>I23*10^3</f>
        <v>0</v>
      </c>
      <c r="I45" s="945">
        <f>I11*10^3</f>
        <v>0</v>
      </c>
      <c r="J45" s="945">
        <f>I12*10^3</f>
        <v>0</v>
      </c>
      <c r="K45" s="118">
        <f>SUM(I26:I28)*10^3</f>
        <v>0</v>
      </c>
      <c r="L45" s="945">
        <f>I24*10^3</f>
        <v>0</v>
      </c>
      <c r="M45" s="945">
        <f>I25*10^3</f>
        <v>0</v>
      </c>
      <c r="N45" s="945">
        <v>0</v>
      </c>
      <c r="O45" s="945">
        <v>0</v>
      </c>
      <c r="P45" s="592">
        <f t="shared" si="3"/>
        <v>0</v>
      </c>
    </row>
    <row r="46" spans="2:21">
      <c r="B46" s="597" t="s">
        <v>319</v>
      </c>
      <c r="C46" s="588"/>
      <c r="D46" s="588"/>
      <c r="E46" s="588"/>
      <c r="F46" s="589"/>
      <c r="G46" s="588"/>
      <c r="H46" s="589"/>
      <c r="I46" s="588"/>
      <c r="J46" s="588"/>
      <c r="K46" s="588"/>
      <c r="L46" s="588"/>
      <c r="M46" s="588"/>
      <c r="N46" s="588"/>
      <c r="O46" s="588"/>
      <c r="P46" s="593"/>
    </row>
    <row r="47" spans="2:21">
      <c r="B47" s="596" t="s">
        <v>194</v>
      </c>
      <c r="C47" s="118">
        <f>C30*10^3</f>
        <v>0</v>
      </c>
      <c r="D47" s="118">
        <f>((SUM(C9:E10)+SUM(C13:E14))*10^3)-D44</f>
        <v>0</v>
      </c>
      <c r="E47" s="118">
        <f>(SUM(C15:E16)*10^3)</f>
        <v>0</v>
      </c>
      <c r="F47" s="945">
        <v>0</v>
      </c>
      <c r="G47" s="118">
        <f>SUM(C32:E33)*10^3</f>
        <v>0</v>
      </c>
      <c r="H47" s="945">
        <v>0</v>
      </c>
      <c r="I47" s="118">
        <f>SUM(C11:E11)*10^3</f>
        <v>0</v>
      </c>
      <c r="J47" s="118">
        <f>SUM(C12:E12)*10^3</f>
        <v>0</v>
      </c>
      <c r="K47" s="118">
        <f>SUM(C26:E28)*10^3</f>
        <v>0</v>
      </c>
      <c r="L47" s="118">
        <f>SUM(C24:E24)*10^3</f>
        <v>0</v>
      </c>
      <c r="M47" s="118">
        <f>SUM(C25:E25)*10^3</f>
        <v>0</v>
      </c>
      <c r="N47" s="118">
        <f>G79</f>
        <v>0</v>
      </c>
      <c r="O47" s="118">
        <f>G80</f>
        <v>0</v>
      </c>
      <c r="P47" s="592">
        <f>SUM(C47:O47)</f>
        <v>0</v>
      </c>
    </row>
    <row r="48" spans="2:21">
      <c r="B48" s="596" t="s">
        <v>320</v>
      </c>
      <c r="C48" s="118"/>
      <c r="D48" s="118"/>
      <c r="E48" s="118"/>
      <c r="G48" s="118"/>
      <c r="H48" s="118"/>
      <c r="I48" s="118"/>
      <c r="J48" s="118"/>
      <c r="L48" s="118"/>
      <c r="M48" s="118"/>
      <c r="N48" s="118"/>
      <c r="O48" s="118"/>
      <c r="P48" s="592">
        <f t="shared" si="3"/>
        <v>0</v>
      </c>
    </row>
    <row r="49" spans="1:21">
      <c r="B49" s="596" t="s">
        <v>198</v>
      </c>
      <c r="C49" s="118"/>
      <c r="D49" s="118"/>
      <c r="E49" s="118"/>
      <c r="F49" s="118">
        <f>SUM(C29:E29)*10^3</f>
        <v>0</v>
      </c>
      <c r="G49" s="118"/>
      <c r="H49" s="118">
        <f>SUM(C23:E23)*10^3</f>
        <v>0</v>
      </c>
      <c r="I49" s="118"/>
      <c r="J49" s="118"/>
      <c r="K49" s="118"/>
      <c r="L49" s="118"/>
      <c r="M49" s="118"/>
      <c r="N49" s="118"/>
      <c r="O49" s="118"/>
      <c r="P49" s="592">
        <f t="shared" si="3"/>
        <v>0</v>
      </c>
    </row>
    <row r="50" spans="1:21">
      <c r="B50" s="596" t="s">
        <v>200</v>
      </c>
      <c r="C50" s="118"/>
      <c r="D50" s="118"/>
      <c r="E50" s="118"/>
      <c r="G50" s="118"/>
      <c r="H50" s="118"/>
      <c r="I50" s="118"/>
      <c r="J50" s="118"/>
      <c r="K50" s="118"/>
      <c r="L50" s="118"/>
      <c r="M50" s="118"/>
      <c r="N50" s="118"/>
      <c r="O50" s="118"/>
      <c r="P50" s="592">
        <f t="shared" si="3"/>
        <v>0</v>
      </c>
    </row>
    <row r="51" spans="1:21">
      <c r="B51" s="596" t="s">
        <v>321</v>
      </c>
      <c r="C51" s="118"/>
      <c r="D51" s="118"/>
      <c r="E51" s="118"/>
      <c r="G51" s="118"/>
      <c r="H51" s="118"/>
      <c r="I51" s="118"/>
      <c r="J51" s="118"/>
      <c r="K51" s="118"/>
      <c r="L51" s="118"/>
      <c r="M51" s="118"/>
      <c r="N51" s="118"/>
      <c r="O51" s="118"/>
      <c r="P51" s="592">
        <f t="shared" si="3"/>
        <v>0</v>
      </c>
    </row>
    <row r="52" spans="1:21" ht="13.8" thickBot="1">
      <c r="B52" s="598" t="s">
        <v>167</v>
      </c>
      <c r="C52" s="590">
        <f>SUM(C39:C51)</f>
        <v>0</v>
      </c>
      <c r="D52" s="590">
        <f>SUM(D39:D51)</f>
        <v>0</v>
      </c>
      <c r="E52" s="590">
        <f>SUM(E39:E51)</f>
        <v>0</v>
      </c>
      <c r="F52" s="590">
        <f t="shared" ref="F52:K52" si="4">SUM(F39:F51)</f>
        <v>0</v>
      </c>
      <c r="G52" s="590">
        <f t="shared" si="4"/>
        <v>0</v>
      </c>
      <c r="H52" s="590">
        <f t="shared" si="4"/>
        <v>0</v>
      </c>
      <c r="I52" s="590">
        <f t="shared" si="4"/>
        <v>0</v>
      </c>
      <c r="J52" s="590">
        <f t="shared" si="4"/>
        <v>0</v>
      </c>
      <c r="K52" s="590">
        <f t="shared" si="4"/>
        <v>0</v>
      </c>
      <c r="L52" s="590">
        <f>SUM(L39:L51)</f>
        <v>0</v>
      </c>
      <c r="M52" s="590">
        <f>SUM(M39:M51)</f>
        <v>0</v>
      </c>
      <c r="N52" s="590">
        <f>SUM(N39:N51)</f>
        <v>0</v>
      </c>
      <c r="O52" s="590">
        <f>SUM(O39:O51)</f>
        <v>0</v>
      </c>
      <c r="P52" s="594">
        <f>SUM(P39:P51)</f>
        <v>0</v>
      </c>
    </row>
    <row r="53" spans="1:21">
      <c r="D53" s="733"/>
      <c r="E53" s="710"/>
      <c r="F53" s="733"/>
      <c r="I53" s="118"/>
      <c r="J53" s="118"/>
      <c r="K53" s="118"/>
      <c r="L53" s="118"/>
      <c r="P53" s="733"/>
    </row>
    <row r="54" spans="1:21" s="99" customFormat="1">
      <c r="A54" s="112">
        <v>2</v>
      </c>
      <c r="B54" s="112" t="s">
        <v>322</v>
      </c>
      <c r="C54" s="111"/>
      <c r="D54" s="112"/>
      <c r="E54" s="112"/>
      <c r="F54" s="112"/>
      <c r="G54" s="111"/>
      <c r="H54" s="111"/>
      <c r="I54" s="111"/>
      <c r="J54" s="111"/>
      <c r="K54" s="111"/>
      <c r="L54" s="111"/>
      <c r="M54" s="111"/>
      <c r="N54" s="111"/>
      <c r="O54" s="111"/>
      <c r="P54" s="111"/>
      <c r="Q54" s="111"/>
      <c r="R54" s="111"/>
      <c r="S54" s="111"/>
      <c r="T54" s="111"/>
      <c r="U54" s="117"/>
    </row>
    <row r="55" spans="1:21" ht="12.75" customHeight="1" thickBot="1">
      <c r="B55" s="2055" t="s">
        <v>323</v>
      </c>
      <c r="C55" s="2056"/>
      <c r="D55" s="2056"/>
      <c r="E55" s="2056"/>
      <c r="F55" s="2056"/>
      <c r="G55" s="2056"/>
      <c r="H55" s="2056"/>
      <c r="I55" s="2056"/>
      <c r="J55" s="2056"/>
      <c r="K55" s="2056"/>
      <c r="L55" s="2056"/>
      <c r="M55" s="2056"/>
      <c r="N55" s="2056"/>
      <c r="O55" s="2056"/>
    </row>
    <row r="56" spans="1:21" ht="53.4" thickBot="1">
      <c r="B56" s="1014"/>
      <c r="C56" s="1589" t="s">
        <v>324</v>
      </c>
      <c r="D56" s="1589" t="s">
        <v>325</v>
      </c>
      <c r="E56" s="1589" t="s">
        <v>326</v>
      </c>
      <c r="F56" s="1589" t="s">
        <v>327</v>
      </c>
      <c r="G56" s="1589" t="s">
        <v>328</v>
      </c>
      <c r="H56" s="1589" t="s">
        <v>329</v>
      </c>
      <c r="I56" s="1589" t="s">
        <v>330</v>
      </c>
      <c r="J56" s="1589" t="s">
        <v>331</v>
      </c>
      <c r="K56" s="1589" t="s">
        <v>332</v>
      </c>
      <c r="L56" s="1589" t="s">
        <v>333</v>
      </c>
      <c r="M56" s="1589" t="s">
        <v>334</v>
      </c>
      <c r="N56" s="1590" t="s">
        <v>335</v>
      </c>
      <c r="O56" s="1591" t="s">
        <v>336</v>
      </c>
    </row>
    <row r="57" spans="1:21" ht="13.8" thickBot="1">
      <c r="B57" s="1018" t="s">
        <v>2349</v>
      </c>
      <c r="C57" s="1592"/>
      <c r="D57" s="1592"/>
      <c r="E57" s="1592"/>
      <c r="F57" s="1592"/>
      <c r="G57" s="1592"/>
      <c r="H57" s="1592"/>
      <c r="I57" s="1592"/>
      <c r="J57" s="1592"/>
      <c r="K57" s="1592"/>
      <c r="L57" s="1592"/>
      <c r="M57" s="1592"/>
      <c r="N57" s="1592"/>
      <c r="O57" s="1593">
        <f>SUM(C57:N57)</f>
        <v>0</v>
      </c>
    </row>
    <row r="58" spans="1:21" s="1831" customFormat="1" ht="13.8" thickBot="1">
      <c r="J58" s="1832"/>
    </row>
    <row r="59" spans="1:21" ht="13.8" thickBot="1">
      <c r="B59" s="1006" t="s">
        <v>2</v>
      </c>
      <c r="C59" s="1006" t="s">
        <v>337</v>
      </c>
      <c r="D59" s="1007" t="s">
        <v>338</v>
      </c>
      <c r="E59" s="118">
        <f>O57-C73</f>
        <v>0</v>
      </c>
    </row>
    <row r="60" spans="1:21">
      <c r="B60" s="1161" t="s">
        <v>311</v>
      </c>
      <c r="C60" s="1161"/>
    </row>
    <row r="61" spans="1:21">
      <c r="B61" s="596" t="s">
        <v>2558</v>
      </c>
      <c r="C61" s="609">
        <f>C57+D57</f>
        <v>0</v>
      </c>
    </row>
    <row r="62" spans="1:21">
      <c r="B62" s="596" t="s">
        <v>2559</v>
      </c>
      <c r="C62" s="609">
        <f>E57+H57+I57</f>
        <v>0</v>
      </c>
    </row>
    <row r="63" spans="1:21">
      <c r="B63" s="596" t="s">
        <v>2560</v>
      </c>
      <c r="C63" s="609">
        <f>F57+G57</f>
        <v>0</v>
      </c>
    </row>
    <row r="64" spans="1:21">
      <c r="B64" s="596" t="s">
        <v>315</v>
      </c>
      <c r="C64" s="609">
        <v>0</v>
      </c>
    </row>
    <row r="65" spans="1:21">
      <c r="B65" s="596" t="s">
        <v>2561</v>
      </c>
      <c r="C65" s="609">
        <f>J57</f>
        <v>0</v>
      </c>
    </row>
    <row r="66" spans="1:21" ht="13.8" thickBot="1">
      <c r="B66" s="610" t="s">
        <v>2562</v>
      </c>
      <c r="C66" s="1098">
        <f>K57+L57+M57</f>
        <v>0</v>
      </c>
    </row>
    <row r="67" spans="1:21">
      <c r="B67" s="1162" t="s">
        <v>319</v>
      </c>
      <c r="C67" s="1162"/>
      <c r="D67" s="118"/>
      <c r="E67" s="118"/>
    </row>
    <row r="68" spans="1:21">
      <c r="B68" s="596" t="s">
        <v>194</v>
      </c>
      <c r="C68" s="1261">
        <f>N57</f>
        <v>0</v>
      </c>
      <c r="D68" s="118"/>
      <c r="E68" s="118"/>
    </row>
    <row r="69" spans="1:21">
      <c r="B69" s="596" t="s">
        <v>320</v>
      </c>
      <c r="C69" s="1261">
        <f>'Transportation_Input DATA'!H63</f>
        <v>0</v>
      </c>
      <c r="D69" s="118"/>
      <c r="E69" s="118"/>
    </row>
    <row r="70" spans="1:21">
      <c r="B70" s="596" t="s">
        <v>198</v>
      </c>
      <c r="C70" s="1261"/>
      <c r="D70" s="118"/>
      <c r="E70" s="118"/>
    </row>
    <row r="71" spans="1:21">
      <c r="B71" s="596" t="s">
        <v>200</v>
      </c>
      <c r="C71" s="609"/>
    </row>
    <row r="72" spans="1:21" ht="13.8" thickBot="1">
      <c r="B72" s="610" t="s">
        <v>321</v>
      </c>
      <c r="C72" s="1098"/>
      <c r="D72" s="118"/>
    </row>
    <row r="73" spans="1:21" ht="13.8" thickBot="1">
      <c r="B73" s="951"/>
      <c r="C73" s="599">
        <f>SUM(C61:C72)</f>
        <v>0</v>
      </c>
      <c r="D73" s="118"/>
    </row>
    <row r="74" spans="1:21">
      <c r="B74" s="951"/>
      <c r="D74" s="118"/>
    </row>
    <row r="75" spans="1:21" s="99" customFormat="1">
      <c r="A75" s="112">
        <v>3</v>
      </c>
      <c r="B75" s="112" t="s">
        <v>339</v>
      </c>
      <c r="C75" s="111"/>
      <c r="D75" s="112"/>
      <c r="E75" s="112"/>
      <c r="F75" s="112"/>
      <c r="G75" s="111"/>
      <c r="H75" s="111"/>
      <c r="I75" s="111"/>
      <c r="J75" s="111"/>
      <c r="K75" s="111"/>
      <c r="L75" s="111"/>
      <c r="M75" s="111"/>
      <c r="N75" s="111"/>
      <c r="O75" s="111"/>
      <c r="P75" s="111"/>
      <c r="Q75" s="111"/>
      <c r="R75" s="111"/>
      <c r="S75" s="111"/>
      <c r="T75" s="111"/>
      <c r="U75" s="117"/>
    </row>
    <row r="76" spans="1:21" s="99" customFormat="1" ht="13.8" thickBot="1"/>
    <row r="77" spans="1:21" ht="13.8" thickBot="1">
      <c r="B77" s="2053" t="s">
        <v>256</v>
      </c>
      <c r="C77" s="2062" t="s">
        <v>259</v>
      </c>
      <c r="D77" s="2063"/>
      <c r="E77" s="2063"/>
      <c r="F77" s="2063"/>
      <c r="G77" s="2064"/>
      <c r="H77" s="1033" t="s">
        <v>340</v>
      </c>
      <c r="I77" s="1033" t="s">
        <v>341</v>
      </c>
      <c r="J77" s="1160" t="s">
        <v>167</v>
      </c>
      <c r="K77" s="855" t="s">
        <v>258</v>
      </c>
    </row>
    <row r="78" spans="1:21" ht="13.8" thickBot="1">
      <c r="B78" s="2054"/>
      <c r="C78" s="1021" t="s">
        <v>270</v>
      </c>
      <c r="D78" s="1022" t="s">
        <v>271</v>
      </c>
      <c r="E78" s="1022" t="s">
        <v>272</v>
      </c>
      <c r="F78" s="1163" t="s">
        <v>342</v>
      </c>
      <c r="G78" s="1163" t="s">
        <v>343</v>
      </c>
      <c r="H78" s="1023" t="s">
        <v>344</v>
      </c>
      <c r="I78" s="1023" t="s">
        <v>344</v>
      </c>
      <c r="J78" s="1032"/>
      <c r="K78" s="1005"/>
    </row>
    <row r="79" spans="1:21" s="99" customFormat="1">
      <c r="B79" s="1017" t="s">
        <v>307</v>
      </c>
      <c r="C79" s="1024"/>
      <c r="D79" s="1020">
        <v>0</v>
      </c>
      <c r="E79" s="1019"/>
      <c r="F79" s="1030"/>
      <c r="G79" s="1030"/>
      <c r="H79" s="1025"/>
      <c r="I79" s="1034">
        <f>C91</f>
        <v>0</v>
      </c>
      <c r="J79" s="585">
        <f>SUM(C79:I79)</f>
        <v>0</v>
      </c>
      <c r="K79" s="585" t="s">
        <v>345</v>
      </c>
      <c r="L79" s="117"/>
      <c r="M79" s="117"/>
      <c r="N79" s="117"/>
      <c r="O79" s="117"/>
      <c r="P79" s="117"/>
      <c r="Q79" s="117"/>
    </row>
    <row r="80" spans="1:21" s="99" customFormat="1" ht="13.8" thickBot="1">
      <c r="B80" s="1018" t="s">
        <v>308</v>
      </c>
      <c r="C80" s="1026"/>
      <c r="D80" s="1027">
        <v>0</v>
      </c>
      <c r="E80" s="1028"/>
      <c r="F80" s="1031"/>
      <c r="G80" s="1031"/>
      <c r="H80" s="1029"/>
      <c r="I80" s="1035">
        <f>C100</f>
        <v>0</v>
      </c>
      <c r="J80" s="942">
        <f>SUM(C80:I80)</f>
        <v>0</v>
      </c>
      <c r="K80" s="942" t="s">
        <v>346</v>
      </c>
      <c r="L80" s="117"/>
      <c r="M80" s="117"/>
      <c r="N80" s="117"/>
      <c r="O80" s="117"/>
      <c r="P80" s="117"/>
      <c r="Q80" s="117"/>
    </row>
    <row r="81" spans="2:16" s="99" customFormat="1">
      <c r="I81" s="117"/>
      <c r="J81" s="117"/>
      <c r="K81" s="117"/>
      <c r="L81" s="117"/>
      <c r="M81" s="117"/>
      <c r="N81" s="117"/>
      <c r="O81" s="117"/>
      <c r="P81" s="117"/>
    </row>
    <row r="82" spans="2:16" s="99" customFormat="1">
      <c r="I82" s="117"/>
      <c r="J82" s="117"/>
      <c r="K82" s="117"/>
      <c r="L82" s="117"/>
      <c r="M82" s="117"/>
      <c r="N82" s="117"/>
      <c r="O82" s="117"/>
      <c r="P82" s="117"/>
    </row>
    <row r="83" spans="2:16">
      <c r="B83" s="1036" t="s">
        <v>347</v>
      </c>
    </row>
    <row r="84" spans="2:16">
      <c r="B84" s="112" t="s">
        <v>307</v>
      </c>
    </row>
    <row r="85" spans="2:16">
      <c r="B85" s="99" t="s">
        <v>348</v>
      </c>
      <c r="C85" s="1038">
        <v>1.02</v>
      </c>
      <c r="D85" s="99" t="s">
        <v>349</v>
      </c>
    </row>
    <row r="86" spans="2:16">
      <c r="B86" s="99" t="s">
        <v>350</v>
      </c>
      <c r="C86" s="1038">
        <v>3.6</v>
      </c>
      <c r="D86" s="99" t="s">
        <v>351</v>
      </c>
    </row>
    <row r="87" spans="2:16">
      <c r="B87" s="99" t="s">
        <v>352</v>
      </c>
      <c r="C87" s="1039"/>
      <c r="D87" s="99" t="s">
        <v>353</v>
      </c>
    </row>
    <row r="88" spans="2:16">
      <c r="B88" s="99"/>
      <c r="C88" s="1040">
        <f>C86*C87</f>
        <v>0</v>
      </c>
      <c r="D88" s="99" t="s">
        <v>354</v>
      </c>
    </row>
    <row r="89" spans="2:16">
      <c r="B89" s="99" t="s">
        <v>355</v>
      </c>
      <c r="C89" s="1040">
        <f>C88/C85</f>
        <v>0</v>
      </c>
      <c r="D89" s="99" t="s">
        <v>356</v>
      </c>
    </row>
    <row r="90" spans="2:16">
      <c r="B90" s="99" t="s">
        <v>357</v>
      </c>
      <c r="C90" s="1041">
        <v>0.4</v>
      </c>
      <c r="D90" s="1038"/>
    </row>
    <row r="91" spans="2:16">
      <c r="B91" s="99"/>
      <c r="C91" s="1040">
        <f>C89/C90</f>
        <v>0</v>
      </c>
      <c r="D91" s="99" t="s">
        <v>356</v>
      </c>
    </row>
    <row r="92" spans="2:16">
      <c r="B92" s="99"/>
      <c r="C92" s="1040"/>
      <c r="D92" s="99"/>
    </row>
    <row r="93" spans="2:16">
      <c r="B93" s="112" t="s">
        <v>308</v>
      </c>
    </row>
    <row r="94" spans="2:16">
      <c r="B94" s="99" t="s">
        <v>358</v>
      </c>
      <c r="C94" s="1038">
        <v>26.37</v>
      </c>
      <c r="D94" s="99" t="s">
        <v>359</v>
      </c>
    </row>
    <row r="95" spans="2:16">
      <c r="B95" s="99" t="s">
        <v>350</v>
      </c>
      <c r="C95" s="1038">
        <v>3.6</v>
      </c>
      <c r="D95" s="99" t="s">
        <v>351</v>
      </c>
    </row>
    <row r="96" spans="2:16">
      <c r="B96" s="99" t="s">
        <v>360</v>
      </c>
      <c r="C96" s="1039"/>
      <c r="D96" s="99" t="s">
        <v>353</v>
      </c>
    </row>
    <row r="97" spans="1:21">
      <c r="B97" s="99"/>
      <c r="C97" s="1040">
        <f>C95*C96</f>
        <v>0</v>
      </c>
      <c r="D97" s="99" t="s">
        <v>354</v>
      </c>
    </row>
    <row r="98" spans="1:21">
      <c r="B98" s="99" t="s">
        <v>361</v>
      </c>
      <c r="C98" s="1040">
        <f>C97/C94</f>
        <v>0</v>
      </c>
      <c r="D98" s="99" t="s">
        <v>362</v>
      </c>
    </row>
    <row r="99" spans="1:21">
      <c r="B99" s="99" t="s">
        <v>357</v>
      </c>
      <c r="C99" s="1042">
        <v>0.85</v>
      </c>
      <c r="D99" s="1038"/>
    </row>
    <row r="100" spans="1:21">
      <c r="B100" s="99"/>
      <c r="C100" s="1040">
        <f>C98/C99</f>
        <v>0</v>
      </c>
      <c r="D100" s="99" t="s">
        <v>362</v>
      </c>
    </row>
    <row r="101" spans="1:21">
      <c r="G101" s="752"/>
    </row>
    <row r="102" spans="1:21" s="99" customFormat="1">
      <c r="A102" s="112">
        <v>4</v>
      </c>
      <c r="B102" s="112" t="s">
        <v>363</v>
      </c>
      <c r="C102" s="111"/>
      <c r="D102" s="112"/>
      <c r="E102" s="112"/>
      <c r="F102" s="112"/>
      <c r="G102" s="111"/>
      <c r="H102" s="111"/>
      <c r="I102" s="111"/>
      <c r="J102" s="111"/>
      <c r="K102" s="111"/>
      <c r="L102" s="111"/>
      <c r="M102" s="111"/>
      <c r="N102" s="111"/>
      <c r="O102" s="111"/>
      <c r="P102" s="111"/>
      <c r="Q102" s="111"/>
      <c r="R102" s="111"/>
      <c r="S102" s="111"/>
      <c r="T102" s="111"/>
      <c r="U102" s="117"/>
    </row>
    <row r="103" spans="1:21" s="99" customFormat="1">
      <c r="A103" s="113"/>
      <c r="B103" s="113"/>
      <c r="D103" s="113"/>
      <c r="E103" s="113"/>
      <c r="F103" s="113"/>
      <c r="U103" s="117"/>
    </row>
    <row r="104" spans="1:21" s="99" customFormat="1">
      <c r="A104" s="113"/>
      <c r="B104" s="112" t="s">
        <v>364</v>
      </c>
      <c r="C104" s="222"/>
      <c r="D104" s="113"/>
      <c r="E104" s="113"/>
      <c r="F104" s="113"/>
      <c r="U104" s="117"/>
    </row>
    <row r="105" spans="1:21" s="99" customFormat="1">
      <c r="A105" s="113"/>
      <c r="B105" s="99" t="s">
        <v>1969</v>
      </c>
      <c r="C105" s="1037"/>
      <c r="D105" s="117" t="s">
        <v>2551</v>
      </c>
      <c r="E105" s="118"/>
      <c r="F105" s="113"/>
      <c r="U105" s="117"/>
    </row>
    <row r="106" spans="1:21" s="99" customFormat="1">
      <c r="A106" s="113"/>
      <c r="B106" s="117"/>
      <c r="C106" s="118">
        <f>C105*10^6</f>
        <v>0</v>
      </c>
      <c r="D106" s="117" t="s">
        <v>365</v>
      </c>
      <c r="E106" s="118"/>
      <c r="F106" s="113"/>
      <c r="U106" s="117"/>
    </row>
    <row r="107" spans="1:21" s="99" customFormat="1" ht="14.4">
      <c r="A107" s="113"/>
      <c r="B107" s="117"/>
      <c r="C107" s="117">
        <v>35.314999999999998</v>
      </c>
      <c r="D107" s="117" t="s">
        <v>2470</v>
      </c>
      <c r="E107" s="118"/>
      <c r="F107" s="113"/>
      <c r="U107" s="117"/>
    </row>
    <row r="108" spans="1:21" s="99" customFormat="1" ht="14.4">
      <c r="A108" s="113"/>
      <c r="B108" s="117"/>
      <c r="C108" s="118">
        <f>C106/C107</f>
        <v>0</v>
      </c>
      <c r="D108" s="117" t="s">
        <v>2471</v>
      </c>
      <c r="E108" s="117"/>
      <c r="F108" s="113"/>
      <c r="U108" s="117"/>
    </row>
    <row r="109" spans="1:21" s="99" customFormat="1">
      <c r="A109" s="113"/>
      <c r="B109" s="113"/>
      <c r="D109" s="113"/>
      <c r="E109" s="113"/>
      <c r="F109" s="113"/>
      <c r="U109" s="117"/>
    </row>
    <row r="110" spans="1:21">
      <c r="B110" s="112" t="s">
        <v>366</v>
      </c>
      <c r="C110" s="222"/>
      <c r="G110" s="118"/>
      <c r="I110" s="118"/>
      <c r="M110" s="118"/>
    </row>
    <row r="111" spans="1:21">
      <c r="B111" s="99" t="s">
        <v>1969</v>
      </c>
      <c r="C111" s="1037"/>
      <c r="D111" s="117" t="s">
        <v>367</v>
      </c>
    </row>
    <row r="112" spans="1:21">
      <c r="C112" s="118">
        <f>C111*10^6*365</f>
        <v>0</v>
      </c>
      <c r="D112" s="117" t="s">
        <v>365</v>
      </c>
    </row>
    <row r="113" spans="1:21" ht="14.4">
      <c r="C113" s="117">
        <f>35.315</f>
        <v>35.314999999999998</v>
      </c>
      <c r="D113" s="117" t="s">
        <v>2470</v>
      </c>
    </row>
    <row r="114" spans="1:21" ht="14.4">
      <c r="C114" s="118">
        <f>C112/C113</f>
        <v>0</v>
      </c>
      <c r="D114" s="117" t="s">
        <v>2471</v>
      </c>
    </row>
    <row r="115" spans="1:21" ht="14.4">
      <c r="C115" s="118">
        <f>IFERROR(C114*C119,0)</f>
        <v>0</v>
      </c>
      <c r="D115" s="117" t="s">
        <v>2471</v>
      </c>
    </row>
    <row r="117" spans="1:21">
      <c r="B117" s="117" t="s">
        <v>368</v>
      </c>
      <c r="C117" s="1037"/>
      <c r="D117" s="117" t="s">
        <v>369</v>
      </c>
      <c r="M117" s="99"/>
      <c r="N117" s="118"/>
    </row>
    <row r="118" spans="1:21">
      <c r="B118" s="117" t="s">
        <v>1968</v>
      </c>
      <c r="C118" s="1037"/>
      <c r="D118" s="117" t="s">
        <v>369</v>
      </c>
      <c r="M118" s="99"/>
      <c r="N118" s="118"/>
      <c r="P118" s="222"/>
    </row>
    <row r="119" spans="1:21">
      <c r="C119" s="1623">
        <f>IFERROR(C118/(C117-C118),0)</f>
        <v>0</v>
      </c>
      <c r="M119" s="99"/>
      <c r="N119" s="99"/>
      <c r="O119" s="99"/>
    </row>
    <row r="120" spans="1:21">
      <c r="M120" s="99"/>
      <c r="N120" s="118"/>
    </row>
    <row r="121" spans="1:21" s="99" customFormat="1">
      <c r="A121" s="112">
        <v>4</v>
      </c>
      <c r="B121" s="112" t="s">
        <v>370</v>
      </c>
      <c r="C121" s="111"/>
      <c r="D121" s="112"/>
      <c r="E121" s="112"/>
      <c r="F121" s="112"/>
      <c r="G121" s="111"/>
      <c r="H121" s="111"/>
      <c r="I121" s="111"/>
      <c r="J121" s="111"/>
      <c r="K121" s="111"/>
      <c r="L121" s="111"/>
      <c r="M121" s="111"/>
      <c r="N121" s="111"/>
      <c r="O121" s="111"/>
      <c r="P121" s="111"/>
      <c r="Q121" s="111"/>
      <c r="R121" s="111"/>
      <c r="S121" s="111"/>
      <c r="T121" s="111"/>
      <c r="U121" s="117"/>
    </row>
    <row r="123" spans="1:21">
      <c r="B123" s="117" t="s">
        <v>371</v>
      </c>
      <c r="C123" s="1037"/>
      <c r="D123" s="117" t="s">
        <v>372</v>
      </c>
    </row>
    <row r="124" spans="1:21">
      <c r="C124" s="118">
        <f>C123*365</f>
        <v>0</v>
      </c>
      <c r="D124" s="117" t="s">
        <v>373</v>
      </c>
    </row>
    <row r="125" spans="1:21">
      <c r="C125" s="117">
        <v>159</v>
      </c>
      <c r="D125" s="117" t="s">
        <v>374</v>
      </c>
    </row>
    <row r="126" spans="1:21" ht="14.4">
      <c r="B126" s="99"/>
      <c r="C126" s="118">
        <f>C124*C125/1000</f>
        <v>0</v>
      </c>
      <c r="D126" s="117" t="s">
        <v>2472</v>
      </c>
    </row>
  </sheetData>
  <mergeCells count="13">
    <mergeCell ref="S7:S8"/>
    <mergeCell ref="T7:T8"/>
    <mergeCell ref="C77:G77"/>
    <mergeCell ref="P35:P36"/>
    <mergeCell ref="C35:O35"/>
    <mergeCell ref="B35:B37"/>
    <mergeCell ref="B77:B78"/>
    <mergeCell ref="B55:O55"/>
    <mergeCell ref="B7:B8"/>
    <mergeCell ref="C7:L7"/>
    <mergeCell ref="M7:M8"/>
    <mergeCell ref="N7:N8"/>
    <mergeCell ref="O7:R7"/>
  </mergeCells>
  <phoneticPr fontId="50"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sheetPr>
  <dimension ref="A1:V87"/>
  <sheetViews>
    <sheetView zoomScale="70" zoomScaleNormal="70" workbookViewId="0">
      <selection activeCell="I15" sqref="I15"/>
    </sheetView>
  </sheetViews>
  <sheetFormatPr defaultColWidth="8.6640625" defaultRowHeight="13.2"/>
  <cols>
    <col min="1" max="1" width="10.44140625" style="99" customWidth="1"/>
    <col min="2" max="2" width="12.44140625" style="99" customWidth="1"/>
    <col min="3" max="3" width="44.44140625" style="99" bestFit="1" customWidth="1"/>
    <col min="4" max="8" width="15.44140625" style="99" customWidth="1"/>
    <col min="9" max="9" width="20.33203125" style="99" bestFit="1" customWidth="1"/>
    <col min="10" max="11" width="20.6640625" style="99" customWidth="1"/>
    <col min="12" max="12" width="15.33203125" style="99" customWidth="1"/>
    <col min="13" max="13" width="18" style="99" customWidth="1"/>
    <col min="14" max="14" width="35" style="125" customWidth="1"/>
    <col min="15" max="15" width="19.33203125" style="99" customWidth="1"/>
    <col min="16" max="16" width="16.5546875" style="99" customWidth="1"/>
    <col min="17" max="17" width="14.33203125" style="99" customWidth="1"/>
    <col min="18" max="18" width="15.88671875" style="99" customWidth="1"/>
    <col min="19" max="19" width="13.33203125" style="99" customWidth="1"/>
    <col min="20" max="20" width="20.33203125" style="99" customWidth="1"/>
    <col min="21" max="21" width="18.77734375" style="99" customWidth="1"/>
    <col min="22" max="22" width="14.21875" style="99" customWidth="1"/>
    <col min="23" max="16384" width="8.6640625" style="99"/>
  </cols>
  <sheetData>
    <row r="1" spans="1:14" s="1550" customFormat="1">
      <c r="A1" s="1550" t="s">
        <v>375</v>
      </c>
      <c r="N1" s="1553"/>
    </row>
    <row r="2" spans="1:14" s="117" customFormat="1">
      <c r="N2" s="1007"/>
    </row>
    <row r="3" spans="1:14">
      <c r="A3" s="120" t="s">
        <v>254</v>
      </c>
      <c r="B3" s="1413">
        <f>'City information'!$C$4</f>
        <v>0</v>
      </c>
      <c r="C3" s="120"/>
      <c r="D3" s="120"/>
      <c r="E3" s="120"/>
      <c r="F3" s="120"/>
      <c r="G3" s="120"/>
      <c r="H3" s="120"/>
      <c r="I3" s="120"/>
    </row>
    <row r="4" spans="1:14">
      <c r="A4" s="120" t="s">
        <v>140</v>
      </c>
      <c r="B4" s="1413">
        <f>'City information'!$C$5</f>
        <v>2562</v>
      </c>
      <c r="C4" s="120"/>
      <c r="D4" s="120"/>
      <c r="E4" s="120"/>
      <c r="F4" s="120"/>
      <c r="G4" s="120"/>
      <c r="H4" s="120"/>
      <c r="I4" s="120"/>
    </row>
    <row r="5" spans="1:14">
      <c r="B5" s="113"/>
      <c r="C5" s="113"/>
      <c r="D5" s="113"/>
      <c r="E5" s="113"/>
      <c r="F5" s="113"/>
      <c r="G5" s="113"/>
      <c r="H5" s="113"/>
      <c r="I5" s="113"/>
    </row>
    <row r="6" spans="1:14">
      <c r="A6" s="112">
        <v>1</v>
      </c>
      <c r="B6" s="112" t="s">
        <v>376</v>
      </c>
      <c r="C6" s="111"/>
      <c r="D6" s="111"/>
      <c r="E6" s="111"/>
      <c r="F6" s="111"/>
      <c r="G6" s="111"/>
      <c r="H6" s="111"/>
      <c r="I6" s="111"/>
      <c r="J6" s="117"/>
    </row>
    <row r="7" spans="1:14" ht="13.8" thickBot="1">
      <c r="A7" s="113"/>
      <c r="B7" s="113"/>
      <c r="J7" s="117"/>
    </row>
    <row r="8" spans="1:14" ht="21.6" customHeight="1">
      <c r="A8" s="113"/>
      <c r="B8" s="2073" t="s">
        <v>256</v>
      </c>
      <c r="C8" s="2074"/>
      <c r="D8" s="2071" t="s">
        <v>377</v>
      </c>
      <c r="E8" s="2071"/>
      <c r="F8" s="2071"/>
      <c r="G8" s="2071"/>
      <c r="H8" s="2071"/>
      <c r="I8" s="2072"/>
      <c r="J8" s="117"/>
    </row>
    <row r="9" spans="1:14" ht="13.8" thickBot="1">
      <c r="A9" s="113"/>
      <c r="B9" s="2075"/>
      <c r="C9" s="2076"/>
      <c r="D9" s="1045" t="s">
        <v>258</v>
      </c>
      <c r="E9" s="1045" t="s">
        <v>378</v>
      </c>
      <c r="F9" s="1045" t="s">
        <v>379</v>
      </c>
      <c r="G9" s="1045" t="s">
        <v>320</v>
      </c>
      <c r="H9" s="1045" t="s">
        <v>198</v>
      </c>
      <c r="I9" s="1050" t="s">
        <v>194</v>
      </c>
      <c r="J9" s="99" t="s">
        <v>338</v>
      </c>
      <c r="K9" s="290">
        <f>E20-'Energy_Input DATA'!P47</f>
        <v>0</v>
      </c>
    </row>
    <row r="10" spans="1:14">
      <c r="B10" s="753">
        <v>1</v>
      </c>
      <c r="C10" s="99" t="s">
        <v>303</v>
      </c>
      <c r="D10" s="104" t="s">
        <v>380</v>
      </c>
      <c r="E10" s="1043">
        <f>'Energy_Input DATA'!E47</f>
        <v>0</v>
      </c>
      <c r="F10" s="290"/>
      <c r="G10" s="290"/>
      <c r="H10" s="290"/>
      <c r="I10" s="1044">
        <f>E10-F10-G10-H10</f>
        <v>0</v>
      </c>
    </row>
    <row r="11" spans="1:14">
      <c r="B11" s="753">
        <v>2</v>
      </c>
      <c r="C11" s="99" t="s">
        <v>2554</v>
      </c>
      <c r="D11" s="104" t="s">
        <v>380</v>
      </c>
      <c r="E11" s="1043">
        <f>'Energy_Input DATA'!D47</f>
        <v>0</v>
      </c>
      <c r="F11" s="290">
        <f>H38</f>
        <v>0</v>
      </c>
      <c r="G11" s="290">
        <f>H53</f>
        <v>0</v>
      </c>
      <c r="H11" s="290">
        <f>K74+V74</f>
        <v>0</v>
      </c>
      <c r="I11" s="1044">
        <f>E11-F11-G11-H11</f>
        <v>0</v>
      </c>
    </row>
    <row r="12" spans="1:14">
      <c r="B12" s="753">
        <v>3</v>
      </c>
      <c r="C12" s="99" t="s">
        <v>2552</v>
      </c>
      <c r="D12" s="104" t="s">
        <v>380</v>
      </c>
      <c r="E12" s="1043">
        <f>'Energy_Input DATA'!I47</f>
        <v>0</v>
      </c>
      <c r="F12" s="1299"/>
      <c r="G12" s="290"/>
      <c r="H12" s="290"/>
      <c r="I12" s="1044">
        <f t="shared" ref="I12:I19" si="0">E12-F12-G12-H12</f>
        <v>0</v>
      </c>
    </row>
    <row r="13" spans="1:14">
      <c r="B13" s="753">
        <v>4</v>
      </c>
      <c r="C13" s="99" t="s">
        <v>2553</v>
      </c>
      <c r="D13" s="104" t="s">
        <v>380</v>
      </c>
      <c r="E13" s="1043">
        <f>'Energy_Input DATA'!J47</f>
        <v>0</v>
      </c>
      <c r="F13" s="1299"/>
      <c r="G13" s="290"/>
      <c r="H13" s="290"/>
      <c r="I13" s="1044">
        <f t="shared" si="0"/>
        <v>0</v>
      </c>
    </row>
    <row r="14" spans="1:14">
      <c r="B14" s="753">
        <v>5</v>
      </c>
      <c r="C14" s="99" t="s">
        <v>2555</v>
      </c>
      <c r="D14" s="104" t="s">
        <v>380</v>
      </c>
      <c r="E14" s="1043">
        <f>'Energy_Input DATA'!G47</f>
        <v>0</v>
      </c>
      <c r="F14" s="1299"/>
      <c r="G14" s="290"/>
      <c r="I14" s="1044">
        <f t="shared" si="0"/>
        <v>0</v>
      </c>
    </row>
    <row r="15" spans="1:14">
      <c r="B15" s="753">
        <v>6</v>
      </c>
      <c r="C15" s="99" t="s">
        <v>304</v>
      </c>
      <c r="D15" s="104" t="s">
        <v>380</v>
      </c>
      <c r="E15" s="1043">
        <f>'Energy_Input DATA'!K47</f>
        <v>0</v>
      </c>
      <c r="F15" s="1299"/>
      <c r="G15" s="290"/>
      <c r="H15" s="290"/>
      <c r="I15" s="1044">
        <f>E15-F15-G15-H15</f>
        <v>0</v>
      </c>
    </row>
    <row r="16" spans="1:14">
      <c r="B16" s="753">
        <v>7</v>
      </c>
      <c r="C16" s="99" t="s">
        <v>290</v>
      </c>
      <c r="D16" s="104" t="s">
        <v>380</v>
      </c>
      <c r="E16" s="1043">
        <f>'Energy_Input DATA'!L47</f>
        <v>0</v>
      </c>
      <c r="F16" s="1299"/>
      <c r="G16" s="290"/>
      <c r="H16" s="290"/>
      <c r="I16" s="1044">
        <f t="shared" si="0"/>
        <v>0</v>
      </c>
    </row>
    <row r="17" spans="1:10">
      <c r="B17" s="753">
        <v>8</v>
      </c>
      <c r="C17" s="99" t="s">
        <v>289</v>
      </c>
      <c r="D17" s="104" t="s">
        <v>380</v>
      </c>
      <c r="E17" s="1043">
        <f>'Energy_Input DATA'!M47</f>
        <v>0</v>
      </c>
      <c r="F17" s="1299"/>
      <c r="G17" s="290"/>
      <c r="H17" s="290"/>
      <c r="I17" s="1044">
        <f t="shared" si="0"/>
        <v>0</v>
      </c>
    </row>
    <row r="18" spans="1:10">
      <c r="B18" s="753">
        <v>9</v>
      </c>
      <c r="C18" s="99" t="s">
        <v>295</v>
      </c>
      <c r="D18" s="104" t="s">
        <v>362</v>
      </c>
      <c r="E18" s="1043">
        <f>'Energy_Input DATA'!C47</f>
        <v>0</v>
      </c>
      <c r="F18" s="1299"/>
      <c r="G18" s="290"/>
      <c r="H18" s="290"/>
      <c r="I18" s="1044">
        <f t="shared" si="0"/>
        <v>0</v>
      </c>
    </row>
    <row r="19" spans="1:10" ht="13.8" thickBot="1">
      <c r="B19" s="753">
        <v>10</v>
      </c>
      <c r="C19" s="99" t="s">
        <v>2556</v>
      </c>
      <c r="D19" s="104" t="s">
        <v>356</v>
      </c>
      <c r="E19" s="1043">
        <f>'Energy_Input DATA'!N47</f>
        <v>0</v>
      </c>
      <c r="F19" s="290"/>
      <c r="G19" s="290"/>
      <c r="H19" s="290"/>
      <c r="I19" s="1044">
        <f t="shared" si="0"/>
        <v>0</v>
      </c>
    </row>
    <row r="20" spans="1:10" ht="13.8" thickBot="1">
      <c r="B20" s="2069" t="s">
        <v>250</v>
      </c>
      <c r="C20" s="2070"/>
      <c r="D20" s="1046" t="s">
        <v>380</v>
      </c>
      <c r="E20" s="1047">
        <f>SUM(E10:E19)</f>
        <v>0</v>
      </c>
      <c r="F20" s="1047">
        <f>SUM(F11:F19)</f>
        <v>0</v>
      </c>
      <c r="G20" s="1047">
        <f>SUM(G11:G19)</f>
        <v>0</v>
      </c>
      <c r="H20" s="1047">
        <f>SUM(H11:H19)</f>
        <v>0</v>
      </c>
      <c r="I20" s="1048">
        <f>SUM(I10:I19)</f>
        <v>0</v>
      </c>
    </row>
    <row r="21" spans="1:10" ht="12.6" customHeight="1">
      <c r="E21" s="290"/>
    </row>
    <row r="22" spans="1:10">
      <c r="A22" s="112">
        <v>2</v>
      </c>
      <c r="B22" s="112" t="s">
        <v>390</v>
      </c>
      <c r="C22" s="111"/>
      <c r="D22" s="111"/>
      <c r="E22" s="111"/>
      <c r="F22" s="111"/>
      <c r="G22" s="111"/>
      <c r="H22" s="111"/>
      <c r="I22" s="111"/>
      <c r="J22" s="117"/>
    </row>
    <row r="23" spans="1:10" ht="13.8" thickBot="1">
      <c r="A23" s="113"/>
      <c r="B23" s="113"/>
      <c r="J23" s="117"/>
    </row>
    <row r="24" spans="1:10" ht="39.6">
      <c r="A24" s="113"/>
      <c r="B24" s="2080" t="s">
        <v>1966</v>
      </c>
      <c r="C24" s="2071" t="s">
        <v>391</v>
      </c>
      <c r="D24" s="2077" t="s">
        <v>392</v>
      </c>
      <c r="E24" s="1594" t="s">
        <v>393</v>
      </c>
      <c r="F24" s="1594" t="s">
        <v>394</v>
      </c>
      <c r="G24" s="1053" t="s">
        <v>395</v>
      </c>
      <c r="H24" s="2086" t="s">
        <v>396</v>
      </c>
      <c r="I24" s="2087"/>
      <c r="J24" s="117"/>
    </row>
    <row r="25" spans="1:10" ht="19.2" customHeight="1" thickBot="1">
      <c r="B25" s="2081"/>
      <c r="C25" s="2079"/>
      <c r="D25" s="2078"/>
      <c r="E25" s="1054" t="s">
        <v>397</v>
      </c>
      <c r="F25" s="1054" t="s">
        <v>398</v>
      </c>
      <c r="G25" s="1054" t="s">
        <v>399</v>
      </c>
      <c r="H25" s="1054" t="s">
        <v>400</v>
      </c>
      <c r="I25" s="1055" t="s">
        <v>401</v>
      </c>
    </row>
    <row r="26" spans="1:10">
      <c r="B26" s="1068" t="s">
        <v>1965</v>
      </c>
      <c r="C26" s="1066"/>
      <c r="D26" s="1066"/>
      <c r="E26" s="1065"/>
      <c r="F26" s="1069"/>
      <c r="G26" s="1066"/>
      <c r="H26" s="125"/>
      <c r="I26" s="1061"/>
    </row>
    <row r="27" spans="1:10">
      <c r="B27" s="1070">
        <v>1</v>
      </c>
      <c r="C27" s="1071"/>
      <c r="D27" s="1069"/>
      <c r="E27" s="1065"/>
      <c r="F27" s="1072"/>
      <c r="G27" s="1073"/>
      <c r="H27" s="1059">
        <f>IFERROR((F27/2)/(G27)*E27,0)</f>
        <v>0</v>
      </c>
      <c r="I27" s="1060">
        <f>IFERROR((F27/2)/(G27)*E27,0)</f>
        <v>0</v>
      </c>
    </row>
    <row r="28" spans="1:10">
      <c r="B28" s="1070">
        <v>2</v>
      </c>
      <c r="C28" s="1074"/>
      <c r="D28" s="1069"/>
      <c r="E28" s="1065"/>
      <c r="F28" s="1072"/>
      <c r="G28" s="1073"/>
      <c r="H28" s="1059">
        <f>IFERROR((F28/2)/(G28)*E28,0)</f>
        <v>0</v>
      </c>
      <c r="I28" s="1060">
        <f>IFERROR((F28/2)/(G28)*E28,0)</f>
        <v>0</v>
      </c>
    </row>
    <row r="29" spans="1:10">
      <c r="B29" s="1070">
        <v>3</v>
      </c>
      <c r="C29" s="1074"/>
      <c r="D29" s="1069"/>
      <c r="E29" s="1065"/>
      <c r="F29" s="1072"/>
      <c r="G29" s="1073"/>
      <c r="H29" s="1059">
        <f>IFERROR((F29/2)/(G29)*E29,0)</f>
        <v>0</v>
      </c>
      <c r="I29" s="1060">
        <f>IFERROR((F29/2)/(G29)*E29,0)</f>
        <v>0</v>
      </c>
    </row>
    <row r="30" spans="1:10" ht="12.6" customHeight="1">
      <c r="B30" s="1070">
        <v>4</v>
      </c>
      <c r="C30" s="1074"/>
      <c r="D30" s="1069"/>
      <c r="E30" s="1065"/>
      <c r="F30" s="1072"/>
      <c r="G30" s="1073"/>
      <c r="H30" s="1059">
        <f>IFERROR((F30/2)/(G30)*E30,0)</f>
        <v>0</v>
      </c>
      <c r="I30" s="1060">
        <f>IFERROR((F30/2)/(G30)*E30,0)</f>
        <v>0</v>
      </c>
    </row>
    <row r="31" spans="1:10" ht="12.6" customHeight="1">
      <c r="B31" s="1070">
        <v>5</v>
      </c>
      <c r="C31" s="1074"/>
      <c r="D31" s="1069"/>
      <c r="E31" s="1065"/>
      <c r="F31" s="1072"/>
      <c r="G31" s="1073"/>
      <c r="H31" s="1059">
        <f>IFERROR((F31/2)/(G31)*E31,0)</f>
        <v>0</v>
      </c>
      <c r="I31" s="1060">
        <f>IFERROR((F31/2)/(G31)*E31,0)</f>
        <v>0</v>
      </c>
    </row>
    <row r="32" spans="1:10" ht="12.6" customHeight="1">
      <c r="B32" s="1068" t="s">
        <v>1967</v>
      </c>
      <c r="C32" s="1074"/>
      <c r="D32" s="1069"/>
      <c r="E32" s="1065"/>
      <c r="F32" s="1072"/>
      <c r="G32" s="1073"/>
      <c r="H32" s="1059"/>
      <c r="I32" s="1060"/>
    </row>
    <row r="33" spans="1:11" ht="12.6" customHeight="1">
      <c r="B33" s="1070">
        <v>1</v>
      </c>
      <c r="C33" s="1074"/>
      <c r="D33" s="1069"/>
      <c r="E33" s="1065"/>
      <c r="F33" s="1072"/>
      <c r="G33" s="1073"/>
      <c r="H33" s="1059">
        <f>IFERROR((F33/2)/(G33)*E33,0)</f>
        <v>0</v>
      </c>
      <c r="I33" s="1060">
        <f>IFERROR((F33/2)/(G33)*E33,0)</f>
        <v>0</v>
      </c>
    </row>
    <row r="34" spans="1:11" ht="12.6" customHeight="1">
      <c r="B34" s="1070">
        <v>2</v>
      </c>
      <c r="C34" s="1074"/>
      <c r="D34" s="1069"/>
      <c r="E34" s="1065"/>
      <c r="F34" s="1072"/>
      <c r="G34" s="1073"/>
      <c r="H34" s="1059">
        <f>IFERROR((F34/2)/(G34)*E34,0)</f>
        <v>0</v>
      </c>
      <c r="I34" s="1060">
        <f>IFERROR((F34/2)/(G34)*E34,0)</f>
        <v>0</v>
      </c>
    </row>
    <row r="35" spans="1:11" ht="12.6" customHeight="1">
      <c r="B35" s="1070">
        <v>3</v>
      </c>
      <c r="C35" s="1074"/>
      <c r="D35" s="1069"/>
      <c r="E35" s="1065"/>
      <c r="F35" s="1072"/>
      <c r="G35" s="1073"/>
      <c r="H35" s="1059">
        <f>IFERROR((F35/2)/(G35)*E35,0)</f>
        <v>0</v>
      </c>
      <c r="I35" s="1060">
        <f>IFERROR((F35/2)/(G35)*E35,0)</f>
        <v>0</v>
      </c>
    </row>
    <row r="36" spans="1:11" ht="12.6" customHeight="1">
      <c r="B36" s="1070">
        <v>4</v>
      </c>
      <c r="C36" s="1074"/>
      <c r="D36" s="1069"/>
      <c r="E36" s="1065"/>
      <c r="F36" s="1072"/>
      <c r="G36" s="1073"/>
      <c r="H36" s="1059">
        <f>IFERROR((F36/2)/(G36)*E36,0)</f>
        <v>0</v>
      </c>
      <c r="I36" s="1060">
        <f>IFERROR((F36/2)/(G36)*E36,0)</f>
        <v>0</v>
      </c>
    </row>
    <row r="37" spans="1:11" ht="12.6" customHeight="1">
      <c r="B37" s="1070">
        <v>5</v>
      </c>
      <c r="C37" s="1074"/>
      <c r="D37" s="1069"/>
      <c r="E37" s="1065"/>
      <c r="F37" s="1072"/>
      <c r="G37" s="1073"/>
      <c r="H37" s="1059">
        <f>IFERROR((F37/2)/(G37)*E37,0)</f>
        <v>0</v>
      </c>
      <c r="I37" s="1060">
        <f>IFERROR((F37/2)/(G37)*E37,0)</f>
        <v>0</v>
      </c>
    </row>
    <row r="38" spans="1:11" ht="13.8" thickBot="1">
      <c r="B38" s="1052"/>
      <c r="C38" s="1099"/>
      <c r="D38" s="1100"/>
      <c r="E38" s="1100"/>
      <c r="F38" s="1101"/>
      <c r="G38" s="1100"/>
      <c r="H38" s="1102">
        <f>SUM(H26:H37)</f>
        <v>0</v>
      </c>
      <c r="I38" s="1103">
        <f>SUM(I26:I37)</f>
        <v>0</v>
      </c>
    </row>
    <row r="39" spans="1:11">
      <c r="B39" s="99" t="s">
        <v>395</v>
      </c>
      <c r="D39" s="108"/>
      <c r="E39" s="108"/>
      <c r="F39" s="1051"/>
      <c r="G39" s="108"/>
      <c r="H39" s="1040"/>
      <c r="I39" s="1040"/>
    </row>
    <row r="40" spans="1:11">
      <c r="B40" s="103">
        <v>1</v>
      </c>
      <c r="C40" t="s">
        <v>2106</v>
      </c>
      <c r="D40" s="1300">
        <v>2.85</v>
      </c>
      <c r="E40" s="108" t="s">
        <v>2105</v>
      </c>
      <c r="F40" s="1051"/>
      <c r="G40" s="108"/>
      <c r="H40" s="1040"/>
      <c r="I40" s="1040"/>
    </row>
    <row r="41" spans="1:11">
      <c r="B41" s="103">
        <v>2</v>
      </c>
      <c r="C41" t="s">
        <v>2107</v>
      </c>
      <c r="D41" s="1300">
        <v>10.204000000000001</v>
      </c>
      <c r="E41" s="108" t="s">
        <v>2105</v>
      </c>
      <c r="F41" s="1051"/>
      <c r="G41" s="108"/>
      <c r="H41" s="1040"/>
      <c r="I41" s="1040"/>
    </row>
    <row r="42" spans="1:11">
      <c r="B42" s="1301" t="s">
        <v>2109</v>
      </c>
      <c r="C42" s="635" t="s">
        <v>2108</v>
      </c>
      <c r="D42" s="108"/>
      <c r="E42" s="108"/>
      <c r="F42" s="108"/>
      <c r="G42" s="108"/>
      <c r="H42" s="534"/>
    </row>
    <row r="43" spans="1:11">
      <c r="A43" s="112">
        <v>3</v>
      </c>
      <c r="B43" s="112" t="s">
        <v>402</v>
      </c>
      <c r="C43" s="111"/>
      <c r="D43" s="111"/>
      <c r="E43" s="111"/>
      <c r="F43" s="111"/>
      <c r="G43" s="111"/>
      <c r="H43" s="111"/>
      <c r="I43" s="111"/>
      <c r="J43" s="117"/>
    </row>
    <row r="44" spans="1:11">
      <c r="A44" s="113"/>
      <c r="B44" s="113"/>
      <c r="J44" s="117"/>
    </row>
    <row r="45" spans="1:11" ht="13.8" thickBot="1">
      <c r="A45" s="113"/>
      <c r="B45" s="113" t="s">
        <v>1986</v>
      </c>
      <c r="J45" s="117"/>
      <c r="K45" s="113"/>
    </row>
    <row r="46" spans="1:11">
      <c r="B46" s="2082" t="s">
        <v>1966</v>
      </c>
      <c r="C46" s="2084" t="s">
        <v>403</v>
      </c>
      <c r="D46" s="2084" t="s">
        <v>404</v>
      </c>
      <c r="E46" s="2089" t="s">
        <v>405</v>
      </c>
      <c r="F46" s="2089"/>
      <c r="G46" s="2084" t="s">
        <v>406</v>
      </c>
      <c r="H46" s="2084"/>
      <c r="I46" s="2085"/>
    </row>
    <row r="47" spans="1:11" ht="13.8" thickBot="1">
      <c r="B47" s="2083"/>
      <c r="C47" s="2088"/>
      <c r="D47" s="2088"/>
      <c r="E47" s="1056" t="s">
        <v>407</v>
      </c>
      <c r="F47" s="1056" t="s">
        <v>408</v>
      </c>
      <c r="G47" s="1056" t="s">
        <v>409</v>
      </c>
      <c r="H47" s="1056" t="s">
        <v>407</v>
      </c>
      <c r="I47" s="1057" t="s">
        <v>408</v>
      </c>
    </row>
    <row r="48" spans="1:11">
      <c r="B48" s="1213">
        <v>1</v>
      </c>
      <c r="C48" s="1076"/>
      <c r="D48" s="1077"/>
      <c r="E48" s="1077"/>
      <c r="F48" s="1075"/>
      <c r="G48" s="1078"/>
      <c r="H48" s="1058">
        <f>IFERROR(((((E48*100)/D48)*G48)/100),0)</f>
        <v>0</v>
      </c>
      <c r="I48" s="1214">
        <f t="shared" ref="H48:I52" si="1">IFERROR(((((F48*100)/E48)*H48)/100),0)</f>
        <v>0</v>
      </c>
    </row>
    <row r="49" spans="1:10">
      <c r="B49" s="1070">
        <v>2</v>
      </c>
      <c r="C49" s="1215"/>
      <c r="D49" s="1216"/>
      <c r="E49" s="1216"/>
      <c r="F49" s="1069"/>
      <c r="G49" s="1079"/>
      <c r="H49" s="1059">
        <f t="shared" si="1"/>
        <v>0</v>
      </c>
      <c r="I49" s="1060">
        <f t="shared" si="1"/>
        <v>0</v>
      </c>
    </row>
    <row r="50" spans="1:10">
      <c r="B50" s="1070">
        <v>3</v>
      </c>
      <c r="C50" s="1215"/>
      <c r="D50" s="1216"/>
      <c r="E50" s="1216"/>
      <c r="F50" s="1069"/>
      <c r="G50" s="1079"/>
      <c r="H50" s="1059">
        <f t="shared" si="1"/>
        <v>0</v>
      </c>
      <c r="I50" s="1060">
        <f t="shared" si="1"/>
        <v>0</v>
      </c>
    </row>
    <row r="51" spans="1:10">
      <c r="B51" s="1070">
        <v>4</v>
      </c>
      <c r="C51" s="1215"/>
      <c r="D51" s="1216"/>
      <c r="E51" s="1216"/>
      <c r="F51" s="1069"/>
      <c r="G51" s="1079"/>
      <c r="H51" s="1059">
        <f t="shared" si="1"/>
        <v>0</v>
      </c>
      <c r="I51" s="1060">
        <f t="shared" si="1"/>
        <v>0</v>
      </c>
    </row>
    <row r="52" spans="1:10" ht="13.8" thickBot="1">
      <c r="B52" s="1217">
        <v>5</v>
      </c>
      <c r="C52" s="1218"/>
      <c r="D52" s="1219"/>
      <c r="E52" s="1219"/>
      <c r="F52" s="1220"/>
      <c r="G52" s="1221"/>
      <c r="H52" s="1222">
        <f t="shared" si="1"/>
        <v>0</v>
      </c>
      <c r="I52" s="1223">
        <f t="shared" si="1"/>
        <v>0</v>
      </c>
    </row>
    <row r="53" spans="1:10" ht="13.8" thickBot="1">
      <c r="B53" s="1052"/>
      <c r="C53" s="1099"/>
      <c r="D53" s="1100"/>
      <c r="E53" s="1100"/>
      <c r="F53" s="1101"/>
      <c r="G53" s="1100"/>
      <c r="H53" s="1102">
        <f>SUM(H48:H52)</f>
        <v>0</v>
      </c>
      <c r="I53" s="1103">
        <f>SUM(I48:I52)</f>
        <v>0</v>
      </c>
    </row>
    <row r="55" spans="1:10" ht="13.8" thickBot="1">
      <c r="A55" s="113"/>
      <c r="B55" s="113" t="s">
        <v>1987</v>
      </c>
      <c r="J55" s="117"/>
    </row>
    <row r="56" spans="1:10">
      <c r="B56" s="2082" t="s">
        <v>1966</v>
      </c>
      <c r="C56" s="2084" t="s">
        <v>403</v>
      </c>
      <c r="D56" s="2084" t="s">
        <v>404</v>
      </c>
      <c r="E56" s="2089" t="s">
        <v>405</v>
      </c>
      <c r="F56" s="2089"/>
      <c r="G56" s="2084" t="s">
        <v>1988</v>
      </c>
      <c r="H56" s="2084"/>
      <c r="I56" s="2085"/>
    </row>
    <row r="57" spans="1:10" ht="13.8" thickBot="1">
      <c r="B57" s="2083"/>
      <c r="C57" s="2088"/>
      <c r="D57" s="2088"/>
      <c r="E57" s="1056" t="s">
        <v>407</v>
      </c>
      <c r="F57" s="1056" t="s">
        <v>408</v>
      </c>
      <c r="G57" s="1056" t="s">
        <v>1989</v>
      </c>
      <c r="H57" s="1056" t="s">
        <v>407</v>
      </c>
      <c r="I57" s="1057" t="s">
        <v>408</v>
      </c>
    </row>
    <row r="58" spans="1:10">
      <c r="B58" s="1213">
        <v>1</v>
      </c>
      <c r="C58" s="1076"/>
      <c r="D58" s="1077"/>
      <c r="E58" s="1077"/>
      <c r="F58" s="1075"/>
      <c r="G58" s="1078"/>
      <c r="H58" s="1058">
        <f t="shared" ref="H58:I62" si="2">IFERROR(((((E58*100)/D58)*G58)/100),0)</f>
        <v>0</v>
      </c>
      <c r="I58" s="1214">
        <f t="shared" si="2"/>
        <v>0</v>
      </c>
    </row>
    <row r="59" spans="1:10">
      <c r="B59" s="1070">
        <v>2</v>
      </c>
      <c r="C59" s="1215"/>
      <c r="D59" s="1216"/>
      <c r="E59" s="1216"/>
      <c r="F59" s="1069"/>
      <c r="G59" s="1079"/>
      <c r="H59" s="1059">
        <f t="shared" si="2"/>
        <v>0</v>
      </c>
      <c r="I59" s="1060">
        <f t="shared" si="2"/>
        <v>0</v>
      </c>
    </row>
    <row r="60" spans="1:10">
      <c r="B60" s="1070">
        <v>3</v>
      </c>
      <c r="C60" s="1215"/>
      <c r="D60" s="1216"/>
      <c r="E60" s="1216"/>
      <c r="F60" s="1069"/>
      <c r="G60" s="1079"/>
      <c r="H60" s="1059">
        <f t="shared" si="2"/>
        <v>0</v>
      </c>
      <c r="I60" s="1060">
        <f t="shared" si="2"/>
        <v>0</v>
      </c>
    </row>
    <row r="61" spans="1:10">
      <c r="B61" s="1070">
        <v>4</v>
      </c>
      <c r="C61" s="1215"/>
      <c r="D61" s="1216"/>
      <c r="E61" s="1216"/>
      <c r="F61" s="1069"/>
      <c r="G61" s="1079"/>
      <c r="H61" s="1059">
        <f t="shared" si="2"/>
        <v>0</v>
      </c>
      <c r="I61" s="1060">
        <f t="shared" si="2"/>
        <v>0</v>
      </c>
    </row>
    <row r="62" spans="1:10" ht="13.8" thickBot="1">
      <c r="B62" s="1217">
        <v>5</v>
      </c>
      <c r="C62" s="1218"/>
      <c r="D62" s="1219"/>
      <c r="E62" s="1219"/>
      <c r="F62" s="1220"/>
      <c r="G62" s="1221"/>
      <c r="H62" s="1222">
        <f t="shared" si="2"/>
        <v>0</v>
      </c>
      <c r="I62" s="1223">
        <f t="shared" si="2"/>
        <v>0</v>
      </c>
    </row>
    <row r="63" spans="1:10" ht="13.8" thickBot="1">
      <c r="B63" s="1052"/>
      <c r="C63" s="1099"/>
      <c r="D63" s="1100"/>
      <c r="E63" s="1100"/>
      <c r="F63" s="1101"/>
      <c r="G63" s="1100"/>
      <c r="H63" s="1102">
        <f>SUM(H58:H62)</f>
        <v>0</v>
      </c>
      <c r="I63" s="1103">
        <f>SUM(I58:I62)</f>
        <v>0</v>
      </c>
    </row>
    <row r="64" spans="1:10">
      <c r="D64" s="108"/>
      <c r="E64" s="108"/>
      <c r="F64" s="1051"/>
      <c r="G64" s="108"/>
      <c r="H64" s="1040"/>
      <c r="I64" s="1040"/>
    </row>
    <row r="65" spans="1:22">
      <c r="A65" s="112">
        <v>4</v>
      </c>
      <c r="B65" s="112" t="s">
        <v>410</v>
      </c>
      <c r="C65" s="111"/>
      <c r="D65" s="111"/>
      <c r="E65" s="111"/>
      <c r="F65" s="111"/>
      <c r="G65" s="111"/>
      <c r="H65" s="111"/>
      <c r="I65" s="111"/>
      <c r="J65" s="117"/>
    </row>
    <row r="66" spans="1:22">
      <c r="A66" s="113"/>
      <c r="B66" s="113"/>
      <c r="J66" s="117"/>
    </row>
    <row r="67" spans="1:22" ht="13.8" thickBot="1">
      <c r="A67" s="113"/>
      <c r="B67" s="113" t="s">
        <v>2569</v>
      </c>
      <c r="J67" s="117"/>
      <c r="M67" s="113" t="s">
        <v>2570</v>
      </c>
      <c r="N67" s="1840"/>
      <c r="O67" s="1840"/>
      <c r="P67" s="1840"/>
      <c r="Q67" s="1840"/>
      <c r="R67" s="1840"/>
      <c r="S67" s="1840"/>
      <c r="T67" s="1840"/>
      <c r="U67" s="117"/>
      <c r="V67" s="1840"/>
    </row>
    <row r="68" spans="1:22" ht="45" customHeight="1" thickBot="1">
      <c r="B68" s="1237" t="s">
        <v>411</v>
      </c>
      <c r="C68" s="1238" t="s">
        <v>403</v>
      </c>
      <c r="D68" s="1239" t="s">
        <v>412</v>
      </c>
      <c r="E68" s="1239" t="s">
        <v>413</v>
      </c>
      <c r="F68" s="1239" t="s">
        <v>414</v>
      </c>
      <c r="G68" s="1239" t="s">
        <v>415</v>
      </c>
      <c r="H68" s="1239" t="s">
        <v>416</v>
      </c>
      <c r="I68" s="1239" t="s">
        <v>392</v>
      </c>
      <c r="J68" s="1239" t="s">
        <v>417</v>
      </c>
      <c r="K68" s="1240" t="s">
        <v>418</v>
      </c>
      <c r="M68" s="1237" t="s">
        <v>411</v>
      </c>
      <c r="N68" s="1238" t="s">
        <v>403</v>
      </c>
      <c r="O68" s="1239" t="s">
        <v>412</v>
      </c>
      <c r="P68" s="1239" t="s">
        <v>413</v>
      </c>
      <c r="Q68" s="1239" t="s">
        <v>414</v>
      </c>
      <c r="R68" s="1239" t="s">
        <v>2571</v>
      </c>
      <c r="S68" s="1239" t="s">
        <v>416</v>
      </c>
      <c r="T68" s="1239" t="s">
        <v>392</v>
      </c>
      <c r="U68" s="1239" t="s">
        <v>2572</v>
      </c>
      <c r="V68" s="1240" t="s">
        <v>418</v>
      </c>
    </row>
    <row r="69" spans="1:22">
      <c r="B69" s="1070">
        <v>1</v>
      </c>
      <c r="C69" s="1074"/>
      <c r="D69" s="1226"/>
      <c r="E69" s="1225"/>
      <c r="F69" s="1226"/>
      <c r="G69" s="1039"/>
      <c r="H69" s="1039"/>
      <c r="I69" s="1225"/>
      <c r="J69" s="1039"/>
      <c r="K69" s="1228">
        <f>IFERROR(F69*(J69*(G69/60)),0)</f>
        <v>0</v>
      </c>
      <c r="M69" s="1070">
        <v>1</v>
      </c>
      <c r="N69" s="1074"/>
      <c r="O69" s="1226"/>
      <c r="P69" s="1225"/>
      <c r="Q69" s="1226"/>
      <c r="R69" s="1039"/>
      <c r="S69" s="1039"/>
      <c r="T69" s="1225"/>
      <c r="U69" s="1039"/>
      <c r="V69" s="1228">
        <f>IFERROR(Q69*(U69*(R69/60)),0)</f>
        <v>0</v>
      </c>
    </row>
    <row r="70" spans="1:22">
      <c r="B70" s="1070">
        <v>2</v>
      </c>
      <c r="C70" s="1074"/>
      <c r="D70" s="1224"/>
      <c r="E70" s="1225"/>
      <c r="F70" s="1226"/>
      <c r="G70" s="1039"/>
      <c r="H70" s="1039"/>
      <c r="I70" s="1227"/>
      <c r="J70" s="1039"/>
      <c r="K70" s="1228">
        <f>IFERROR(F70*(J70*(G70/60)),0)</f>
        <v>0</v>
      </c>
      <c r="M70" s="1070">
        <v>2</v>
      </c>
      <c r="N70" s="1074"/>
      <c r="O70" s="1224"/>
      <c r="P70" s="1225"/>
      <c r="Q70" s="1226"/>
      <c r="R70" s="1039"/>
      <c r="S70" s="1039"/>
      <c r="T70" s="1227"/>
      <c r="U70" s="1039"/>
      <c r="V70" s="1228">
        <f>IFERROR(Q70*(U70*(R70/60)),0)</f>
        <v>0</v>
      </c>
    </row>
    <row r="71" spans="1:22">
      <c r="B71" s="1070">
        <v>3</v>
      </c>
      <c r="C71" s="1074"/>
      <c r="D71" s="1224"/>
      <c r="E71" s="1225"/>
      <c r="F71" s="1226"/>
      <c r="G71" s="1039"/>
      <c r="H71" s="1039"/>
      <c r="I71" s="1227"/>
      <c r="J71" s="1039"/>
      <c r="K71" s="1228">
        <f>IFERROR(F71*(J71*(G71/60)),0)</f>
        <v>0</v>
      </c>
      <c r="M71" s="1070">
        <v>3</v>
      </c>
      <c r="N71" s="1074"/>
      <c r="O71" s="1224"/>
      <c r="P71" s="1225"/>
      <c r="Q71" s="1226"/>
      <c r="R71" s="1039"/>
      <c r="S71" s="1039"/>
      <c r="T71" s="1227"/>
      <c r="U71" s="1039"/>
      <c r="V71" s="1228">
        <f>IFERROR(Q71*(U71*(R71/60)),0)</f>
        <v>0</v>
      </c>
    </row>
    <row r="72" spans="1:22">
      <c r="B72" s="1070">
        <v>4</v>
      </c>
      <c r="C72" s="1074"/>
      <c r="D72" s="1224"/>
      <c r="E72" s="1225"/>
      <c r="F72" s="1226"/>
      <c r="G72" s="1039"/>
      <c r="H72" s="1039"/>
      <c r="I72" s="1227"/>
      <c r="J72" s="1039"/>
      <c r="K72" s="1228">
        <f>IFERROR(F72*(J72*(G72/60)),0)</f>
        <v>0</v>
      </c>
      <c r="M72" s="1070">
        <v>4</v>
      </c>
      <c r="N72" s="1074"/>
      <c r="O72" s="1224"/>
      <c r="P72" s="1225"/>
      <c r="Q72" s="1226"/>
      <c r="R72" s="1039"/>
      <c r="S72" s="1039"/>
      <c r="T72" s="1227"/>
      <c r="U72" s="1039"/>
      <c r="V72" s="1228">
        <f>IFERROR(Q72*(U72*(R72/60)),0)</f>
        <v>0</v>
      </c>
    </row>
    <row r="73" spans="1:22" ht="13.8" thickBot="1">
      <c r="B73" s="1070">
        <v>5</v>
      </c>
      <c r="C73" s="1074"/>
      <c r="D73" s="1224"/>
      <c r="E73" s="1225"/>
      <c r="F73" s="1226"/>
      <c r="G73" s="1039"/>
      <c r="H73" s="1039"/>
      <c r="I73" s="1227"/>
      <c r="J73" s="1039"/>
      <c r="K73" s="1228">
        <f>IFERROR(F73*(J73*(G73/60)),0)</f>
        <v>0</v>
      </c>
      <c r="M73" s="1070">
        <v>5</v>
      </c>
      <c r="N73" s="1074"/>
      <c r="O73" s="1224"/>
      <c r="P73" s="1225"/>
      <c r="Q73" s="1226"/>
      <c r="R73" s="1039"/>
      <c r="S73" s="1039"/>
      <c r="T73" s="1227"/>
      <c r="U73" s="1039"/>
      <c r="V73" s="1228">
        <f>IFERROR(Q73*(U73*(R73/60)),0)</f>
        <v>0</v>
      </c>
    </row>
    <row r="74" spans="1:22" ht="13.8" thickBot="1">
      <c r="B74" s="1229"/>
      <c r="C74" s="1230"/>
      <c r="D74" s="1231"/>
      <c r="E74" s="1232"/>
      <c r="F74" s="1233">
        <f>SUM(F69:F73)</f>
        <v>0</v>
      </c>
      <c r="G74" s="1233"/>
      <c r="H74" s="1233">
        <f>SUM(H69:H73)</f>
        <v>0</v>
      </c>
      <c r="I74" s="1234"/>
      <c r="J74" s="1235"/>
      <c r="K74" s="1236">
        <f>SUM(K69:K73)</f>
        <v>0</v>
      </c>
      <c r="M74" s="1229"/>
      <c r="N74" s="1230"/>
      <c r="O74" s="1231"/>
      <c r="P74" s="1232"/>
      <c r="Q74" s="1233">
        <f>SUM(Q69:Q73)</f>
        <v>0</v>
      </c>
      <c r="R74" s="1233"/>
      <c r="S74" s="1233">
        <f>SUM(S69:S73)</f>
        <v>0</v>
      </c>
      <c r="T74" s="1234"/>
      <c r="U74" s="1235"/>
      <c r="V74" s="1236">
        <f>SUM(V69:V73)</f>
        <v>0</v>
      </c>
    </row>
    <row r="75" spans="1:22">
      <c r="K75" s="1063"/>
      <c r="M75" s="1062"/>
    </row>
    <row r="76" spans="1:22" ht="13.8" thickBot="1">
      <c r="A76" s="113"/>
      <c r="B76" s="113" t="s">
        <v>2573</v>
      </c>
      <c r="J76" s="117"/>
      <c r="M76" s="113" t="s">
        <v>2574</v>
      </c>
      <c r="N76" s="1840"/>
      <c r="O76" s="1840"/>
      <c r="P76" s="1840"/>
      <c r="Q76" s="1840"/>
      <c r="R76" s="1840"/>
      <c r="S76" s="1840"/>
      <c r="T76" s="1840"/>
      <c r="U76" s="117"/>
      <c r="V76" s="1840"/>
    </row>
    <row r="77" spans="1:22" ht="45" customHeight="1" thickBot="1">
      <c r="B77" s="1237" t="s">
        <v>411</v>
      </c>
      <c r="C77" s="1238" t="s">
        <v>403</v>
      </c>
      <c r="D77" s="1239" t="s">
        <v>412</v>
      </c>
      <c r="E77" s="1239" t="s">
        <v>413</v>
      </c>
      <c r="F77" s="1239" t="s">
        <v>414</v>
      </c>
      <c r="G77" s="1239" t="s">
        <v>415</v>
      </c>
      <c r="H77" s="1239" t="s">
        <v>416</v>
      </c>
      <c r="I77" s="1239" t="s">
        <v>392</v>
      </c>
      <c r="J77" s="1239" t="s">
        <v>417</v>
      </c>
      <c r="K77" s="1240" t="s">
        <v>418</v>
      </c>
      <c r="M77" s="1237" t="s">
        <v>411</v>
      </c>
      <c r="N77" s="1238" t="s">
        <v>403</v>
      </c>
      <c r="O77" s="1239" t="s">
        <v>412</v>
      </c>
      <c r="P77" s="1239" t="s">
        <v>413</v>
      </c>
      <c r="Q77" s="1239" t="s">
        <v>414</v>
      </c>
      <c r="R77" s="1239" t="s">
        <v>2571</v>
      </c>
      <c r="S77" s="1239" t="s">
        <v>416</v>
      </c>
      <c r="T77" s="1239" t="s">
        <v>392</v>
      </c>
      <c r="U77" s="1239" t="s">
        <v>2572</v>
      </c>
      <c r="V77" s="1240" t="s">
        <v>418</v>
      </c>
    </row>
    <row r="78" spans="1:22">
      <c r="B78" s="1070">
        <v>1</v>
      </c>
      <c r="C78" s="1074"/>
      <c r="D78" s="1226"/>
      <c r="E78" s="1225"/>
      <c r="F78" s="1226"/>
      <c r="G78" s="1039"/>
      <c r="H78" s="1039"/>
      <c r="I78" s="1225"/>
      <c r="J78" s="1039"/>
      <c r="K78" s="1228">
        <f>IFERROR(F78*(J78*(G78/60)),0)</f>
        <v>0</v>
      </c>
      <c r="M78" s="1070">
        <v>1</v>
      </c>
      <c r="N78" s="1074"/>
      <c r="O78" s="1226"/>
      <c r="P78" s="1225"/>
      <c r="Q78" s="1226"/>
      <c r="R78" s="1039"/>
      <c r="S78" s="1039"/>
      <c r="T78" s="1225"/>
      <c r="U78" s="1039"/>
      <c r="V78" s="1228">
        <f>IFERROR(Q78*(U78*(R78/60)),0)</f>
        <v>0</v>
      </c>
    </row>
    <row r="79" spans="1:22">
      <c r="B79" s="1070">
        <v>2</v>
      </c>
      <c r="C79" s="1074"/>
      <c r="D79" s="1224"/>
      <c r="E79" s="1225"/>
      <c r="F79" s="1226"/>
      <c r="G79" s="1039"/>
      <c r="H79" s="1039"/>
      <c r="I79" s="1227"/>
      <c r="J79" s="1039"/>
      <c r="K79" s="1228">
        <f>IFERROR(F79*(J79*(G79/60)),0)</f>
        <v>0</v>
      </c>
      <c r="M79" s="1070">
        <v>2</v>
      </c>
      <c r="N79" s="1074"/>
      <c r="O79" s="1224"/>
      <c r="P79" s="1225"/>
      <c r="Q79" s="1226"/>
      <c r="R79" s="1039"/>
      <c r="S79" s="1039"/>
      <c r="T79" s="1227"/>
      <c r="U79" s="1039"/>
      <c r="V79" s="1228">
        <f>IFERROR(Q79*(U79*(R79/60)),0)</f>
        <v>0</v>
      </c>
    </row>
    <row r="80" spans="1:22">
      <c r="B80" s="1070">
        <v>3</v>
      </c>
      <c r="C80" s="1074"/>
      <c r="D80" s="1224"/>
      <c r="E80" s="1225"/>
      <c r="F80" s="1226"/>
      <c r="G80" s="1039"/>
      <c r="H80" s="1039"/>
      <c r="I80" s="1227"/>
      <c r="J80" s="1039"/>
      <c r="K80" s="1228">
        <f>IFERROR(F80*(J80*(G80/60)),0)</f>
        <v>0</v>
      </c>
      <c r="M80" s="1070">
        <v>3</v>
      </c>
      <c r="N80" s="1074"/>
      <c r="O80" s="1224"/>
      <c r="P80" s="1225"/>
      <c r="Q80" s="1226"/>
      <c r="R80" s="1039"/>
      <c r="S80" s="1039"/>
      <c r="T80" s="1227"/>
      <c r="U80" s="1039"/>
      <c r="V80" s="1228">
        <f>IFERROR(Q80*(U80*(R80/60)),0)</f>
        <v>0</v>
      </c>
    </row>
    <row r="81" spans="1:22">
      <c r="B81" s="1070">
        <v>4</v>
      </c>
      <c r="C81" s="1074"/>
      <c r="D81" s="1224"/>
      <c r="E81" s="1225"/>
      <c r="F81" s="1226"/>
      <c r="G81" s="1039"/>
      <c r="H81" s="1039"/>
      <c r="I81" s="1227"/>
      <c r="J81" s="1039"/>
      <c r="K81" s="1228">
        <f>IFERROR(F81*(J81*(G81/60)),0)</f>
        <v>0</v>
      </c>
      <c r="M81" s="1070">
        <v>4</v>
      </c>
      <c r="N81" s="1074"/>
      <c r="O81" s="1224"/>
      <c r="P81" s="1225"/>
      <c r="Q81" s="1226"/>
      <c r="R81" s="1039"/>
      <c r="S81" s="1039"/>
      <c r="T81" s="1227"/>
      <c r="U81" s="1039"/>
      <c r="V81" s="1228">
        <f>IFERROR(Q81*(U81*(R81/60)),0)</f>
        <v>0</v>
      </c>
    </row>
    <row r="82" spans="1:22" ht="13.8" thickBot="1">
      <c r="B82" s="1070">
        <v>5</v>
      </c>
      <c r="C82" s="1074"/>
      <c r="D82" s="1224"/>
      <c r="E82" s="1225"/>
      <c r="F82" s="1226"/>
      <c r="G82" s="1039"/>
      <c r="H82" s="1039"/>
      <c r="I82" s="1227"/>
      <c r="J82" s="1039"/>
      <c r="K82" s="1228">
        <f>IFERROR(F82*(J82*(G82/60)),0)</f>
        <v>0</v>
      </c>
      <c r="M82" s="1070">
        <v>5</v>
      </c>
      <c r="N82" s="1074"/>
      <c r="O82" s="1224"/>
      <c r="P82" s="1225"/>
      <c r="Q82" s="1226"/>
      <c r="R82" s="1039"/>
      <c r="S82" s="1039"/>
      <c r="T82" s="1227"/>
      <c r="U82" s="1039"/>
      <c r="V82" s="1228">
        <f>IFERROR(Q82*(U82*(R82/60)),0)</f>
        <v>0</v>
      </c>
    </row>
    <row r="83" spans="1:22" ht="13.8" thickBot="1">
      <c r="B83" s="1229"/>
      <c r="C83" s="1230"/>
      <c r="D83" s="1231"/>
      <c r="E83" s="1232"/>
      <c r="F83" s="1233">
        <f>SUM(F78:F82)</f>
        <v>0</v>
      </c>
      <c r="G83" s="1233"/>
      <c r="H83" s="1233">
        <f>SUM(H78:H82)</f>
        <v>0</v>
      </c>
      <c r="I83" s="1234"/>
      <c r="J83" s="1235"/>
      <c r="K83" s="1236">
        <f>SUM(K78:K82)</f>
        <v>0</v>
      </c>
      <c r="M83" s="1229"/>
      <c r="N83" s="1230"/>
      <c r="O83" s="1231"/>
      <c r="P83" s="1232"/>
      <c r="Q83" s="1233">
        <f>SUM(Q78:Q82)</f>
        <v>0</v>
      </c>
      <c r="R83" s="1233"/>
      <c r="S83" s="1233">
        <f>SUM(S78:S82)</f>
        <v>0</v>
      </c>
      <c r="T83" s="1234"/>
      <c r="U83" s="1235"/>
      <c r="V83" s="1236">
        <f>SUM(V78:V82)</f>
        <v>0</v>
      </c>
    </row>
    <row r="84" spans="1:22">
      <c r="D84" s="103"/>
      <c r="E84" s="1262"/>
      <c r="F84" s="1038"/>
      <c r="G84" s="1038"/>
      <c r="H84" s="1038"/>
      <c r="I84" s="1263"/>
      <c r="J84" s="125"/>
      <c r="K84" s="1040"/>
      <c r="N84" s="1064"/>
    </row>
    <row r="85" spans="1:22">
      <c r="A85" s="112">
        <v>5</v>
      </c>
      <c r="B85" s="112" t="s">
        <v>421</v>
      </c>
      <c r="C85" s="111"/>
      <c r="D85" s="111"/>
      <c r="E85" s="111"/>
      <c r="F85" s="111"/>
      <c r="G85" s="111"/>
      <c r="H85" s="111"/>
      <c r="I85" s="111"/>
      <c r="J85" s="111"/>
      <c r="K85" s="111"/>
    </row>
    <row r="86" spans="1:22">
      <c r="B86" s="103">
        <v>1</v>
      </c>
      <c r="C86" s="99" t="s">
        <v>422</v>
      </c>
      <c r="D86" s="104" t="s">
        <v>423</v>
      </c>
      <c r="E86" s="1039">
        <v>0</v>
      </c>
    </row>
    <row r="87" spans="1:22">
      <c r="B87" s="103">
        <v>2</v>
      </c>
      <c r="C87" s="99" t="s">
        <v>1970</v>
      </c>
      <c r="D87" s="104" t="s">
        <v>423</v>
      </c>
      <c r="E87" s="1039">
        <v>0</v>
      </c>
    </row>
  </sheetData>
  <autoFilter ref="G1:G88" xr:uid="{00000000-0009-0000-0000-000005000000}"/>
  <mergeCells count="17">
    <mergeCell ref="B56:B57"/>
    <mergeCell ref="C56:C57"/>
    <mergeCell ref="D56:D57"/>
    <mergeCell ref="E56:F56"/>
    <mergeCell ref="G56:I56"/>
    <mergeCell ref="B46:B47"/>
    <mergeCell ref="G46:I46"/>
    <mergeCell ref="H24:I24"/>
    <mergeCell ref="C46:C47"/>
    <mergeCell ref="D46:D47"/>
    <mergeCell ref="E46:F46"/>
    <mergeCell ref="B20:C20"/>
    <mergeCell ref="D8:I8"/>
    <mergeCell ref="B8:C9"/>
    <mergeCell ref="D24:D25"/>
    <mergeCell ref="C24:C25"/>
    <mergeCell ref="B24:B25"/>
  </mergeCells>
  <phoneticPr fontId="57" type="noConversion"/>
  <hyperlinks>
    <hyperlink ref="C42" r:id="rId1" xr:uid="{00000000-0004-0000-0500-000000000000}"/>
  </hyperlinks>
  <pageMargins left="0.7" right="0.7" top="0.75" bottom="0.75" header="0.3" footer="0.3"/>
  <pageSetup paperSize="9" orientation="portrait"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P119"/>
  <sheetViews>
    <sheetView zoomScale="55" zoomScaleNormal="55" workbookViewId="0">
      <selection activeCell="L5" sqref="L5"/>
    </sheetView>
  </sheetViews>
  <sheetFormatPr defaultColWidth="8.6640625" defaultRowHeight="13.2"/>
  <cols>
    <col min="1" max="1" width="8.6640625" style="99"/>
    <col min="2" max="2" width="12.44140625" style="99" customWidth="1"/>
    <col min="3" max="9" width="20.44140625" style="99" customWidth="1"/>
    <col min="10" max="10" width="9.44140625" style="99" bestFit="1" customWidth="1"/>
    <col min="11" max="16384" width="8.6640625" style="99"/>
  </cols>
  <sheetData>
    <row r="1" spans="1:14" s="116" customFormat="1">
      <c r="A1" s="116" t="s">
        <v>2104</v>
      </c>
    </row>
    <row r="2" spans="1:14" s="117" customFormat="1"/>
    <row r="3" spans="1:14">
      <c r="A3" s="120" t="s">
        <v>254</v>
      </c>
      <c r="B3" s="1413">
        <f>'City information'!$C$4</f>
        <v>0</v>
      </c>
      <c r="C3" s="120"/>
      <c r="D3" s="120"/>
      <c r="E3" s="120"/>
      <c r="F3" s="120"/>
      <c r="G3" s="120"/>
      <c r="H3" s="120"/>
      <c r="I3" s="120"/>
    </row>
    <row r="4" spans="1:14">
      <c r="A4" s="120" t="s">
        <v>140</v>
      </c>
      <c r="B4" s="1413">
        <f>'City information'!$C$5</f>
        <v>2562</v>
      </c>
      <c r="C4" s="120"/>
      <c r="D4" s="120"/>
      <c r="E4" s="120"/>
      <c r="F4" s="120"/>
      <c r="G4" s="120"/>
      <c r="H4" s="120"/>
      <c r="I4" s="120"/>
    </row>
    <row r="5" spans="1:14">
      <c r="B5" s="124"/>
      <c r="C5" s="113"/>
      <c r="D5" s="113"/>
      <c r="E5" s="113"/>
      <c r="F5" s="113"/>
      <c r="G5" s="113"/>
      <c r="H5" s="113"/>
      <c r="I5" s="113"/>
    </row>
    <row r="6" spans="1:14">
      <c r="A6" s="1284" t="s">
        <v>2096</v>
      </c>
      <c r="B6" s="1284"/>
      <c r="C6" s="1284"/>
      <c r="D6" s="1284"/>
      <c r="E6" s="1284"/>
      <c r="F6" s="1284"/>
      <c r="G6" s="1284"/>
      <c r="H6" s="1284"/>
      <c r="I6" s="1284"/>
    </row>
    <row r="7" spans="1:14" ht="13.8" thickBot="1">
      <c r="A7" s="519"/>
      <c r="B7" s="519"/>
      <c r="C7" s="519"/>
      <c r="D7" s="519"/>
      <c r="E7" s="519"/>
      <c r="F7" s="519"/>
      <c r="G7" s="519"/>
      <c r="H7" s="519"/>
      <c r="I7" s="519"/>
    </row>
    <row r="8" spans="1:14">
      <c r="B8" s="2090" t="s">
        <v>425</v>
      </c>
      <c r="C8" s="2093" t="s">
        <v>426</v>
      </c>
      <c r="D8" s="2096" t="s">
        <v>427</v>
      </c>
      <c r="E8" s="2097"/>
      <c r="F8" s="2097"/>
      <c r="G8" s="2097"/>
      <c r="H8" s="2098"/>
      <c r="I8" s="2108" t="s">
        <v>167</v>
      </c>
    </row>
    <row r="9" spans="1:14">
      <c r="B9" s="2091"/>
      <c r="C9" s="2094"/>
      <c r="D9" s="2102" t="s">
        <v>428</v>
      </c>
      <c r="E9" s="2102" t="s">
        <v>429</v>
      </c>
      <c r="F9" s="2102" t="s">
        <v>430</v>
      </c>
      <c r="G9" s="2102" t="s">
        <v>431</v>
      </c>
      <c r="H9" s="2106" t="s">
        <v>432</v>
      </c>
      <c r="I9" s="2109"/>
    </row>
    <row r="10" spans="1:14" ht="13.35" customHeight="1" thickBot="1">
      <c r="B10" s="2092"/>
      <c r="C10" s="2095"/>
      <c r="D10" s="2103"/>
      <c r="E10" s="2103"/>
      <c r="F10" s="2103"/>
      <c r="G10" s="2103"/>
      <c r="H10" s="2107"/>
      <c r="I10" s="2109"/>
    </row>
    <row r="11" spans="1:14">
      <c r="B11" s="1752">
        <v>2553</v>
      </c>
      <c r="C11" s="1081"/>
      <c r="D11" s="1081"/>
      <c r="E11" s="1081"/>
      <c r="F11" s="1081"/>
      <c r="G11" s="1081"/>
      <c r="H11" s="1082"/>
      <c r="I11" s="1164">
        <f>SUM(E11:H11)</f>
        <v>0</v>
      </c>
      <c r="J11" s="290"/>
      <c r="K11" s="290"/>
      <c r="L11" s="290"/>
      <c r="M11" s="290"/>
      <c r="N11" s="290"/>
    </row>
    <row r="12" spans="1:14">
      <c r="B12" s="1752">
        <v>2554</v>
      </c>
      <c r="C12" s="1081"/>
      <c r="D12" s="1081"/>
      <c r="E12" s="1081"/>
      <c r="F12" s="1081"/>
      <c r="G12" s="1081"/>
      <c r="H12" s="1082"/>
      <c r="I12" s="1753">
        <f t="shared" ref="I12:I19" si="0">SUM(E12:H12)</f>
        <v>0</v>
      </c>
      <c r="J12" s="290"/>
      <c r="K12" s="290"/>
      <c r="L12" s="290"/>
      <c r="M12" s="290"/>
      <c r="N12" s="290"/>
    </row>
    <row r="13" spans="1:14">
      <c r="B13" s="1752">
        <v>2555</v>
      </c>
      <c r="C13" s="1081"/>
      <c r="D13" s="1081"/>
      <c r="E13" s="1081"/>
      <c r="F13" s="1081"/>
      <c r="G13" s="1081"/>
      <c r="H13" s="1082"/>
      <c r="I13" s="1753">
        <f t="shared" si="0"/>
        <v>0</v>
      </c>
      <c r="J13" s="290"/>
      <c r="K13" s="290"/>
      <c r="L13" s="290"/>
      <c r="M13" s="290"/>
      <c r="N13" s="290"/>
    </row>
    <row r="14" spans="1:14">
      <c r="B14" s="1752">
        <v>2556</v>
      </c>
      <c r="C14" s="1081"/>
      <c r="D14" s="1081"/>
      <c r="E14" s="1081"/>
      <c r="F14" s="1081"/>
      <c r="G14" s="1081"/>
      <c r="H14" s="1082"/>
      <c r="I14" s="1753">
        <f t="shared" si="0"/>
        <v>0</v>
      </c>
      <c r="J14" s="290"/>
      <c r="K14" s="290"/>
      <c r="L14" s="290"/>
      <c r="M14" s="290"/>
      <c r="N14" s="290"/>
    </row>
    <row r="15" spans="1:14">
      <c r="B15" s="1752">
        <v>2557</v>
      </c>
      <c r="C15" s="1081"/>
      <c r="D15" s="1081"/>
      <c r="E15" s="1081"/>
      <c r="F15" s="1081"/>
      <c r="G15" s="1081"/>
      <c r="H15" s="1082"/>
      <c r="I15" s="1753">
        <f t="shared" si="0"/>
        <v>0</v>
      </c>
      <c r="J15" s="290"/>
      <c r="K15" s="290"/>
      <c r="L15" s="290"/>
      <c r="M15" s="290"/>
      <c r="N15" s="290"/>
    </row>
    <row r="16" spans="1:14" ht="12.6" customHeight="1">
      <c r="B16" s="1752">
        <v>2558</v>
      </c>
      <c r="C16" s="1081"/>
      <c r="D16" s="1081"/>
      <c r="E16" s="1081"/>
      <c r="F16" s="1081"/>
      <c r="G16" s="1081"/>
      <c r="H16" s="1082"/>
      <c r="I16" s="1753">
        <f t="shared" si="0"/>
        <v>0</v>
      </c>
      <c r="J16" s="290"/>
      <c r="K16" s="290"/>
      <c r="L16" s="290"/>
      <c r="M16" s="290"/>
      <c r="N16" s="290"/>
    </row>
    <row r="17" spans="2:16">
      <c r="B17" s="1752">
        <v>2559</v>
      </c>
      <c r="C17" s="1081"/>
      <c r="D17" s="1081"/>
      <c r="E17" s="1081"/>
      <c r="F17" s="1081"/>
      <c r="G17" s="1081"/>
      <c r="H17" s="1082"/>
      <c r="I17" s="1753">
        <f t="shared" si="0"/>
        <v>0</v>
      </c>
      <c r="J17" s="290"/>
      <c r="K17" s="290"/>
      <c r="L17" s="290"/>
      <c r="M17" s="290"/>
      <c r="N17" s="290"/>
    </row>
    <row r="18" spans="2:16">
      <c r="B18" s="1752">
        <v>2560</v>
      </c>
      <c r="C18" s="1081"/>
      <c r="D18" s="1081"/>
      <c r="E18" s="1081"/>
      <c r="F18" s="1081"/>
      <c r="G18" s="1081"/>
      <c r="H18" s="1082"/>
      <c r="I18" s="1753">
        <f t="shared" si="0"/>
        <v>0</v>
      </c>
      <c r="J18" s="290"/>
      <c r="K18" s="290"/>
      <c r="L18" s="290"/>
      <c r="M18" s="290"/>
      <c r="N18" s="290"/>
    </row>
    <row r="19" spans="2:16">
      <c r="B19" s="1752">
        <v>2561</v>
      </c>
      <c r="C19" s="1081"/>
      <c r="D19" s="1081"/>
      <c r="E19" s="1081"/>
      <c r="F19" s="1081"/>
      <c r="G19" s="1081"/>
      <c r="H19" s="1082"/>
      <c r="I19" s="1753">
        <f t="shared" si="0"/>
        <v>0</v>
      </c>
      <c r="J19" s="290"/>
      <c r="K19" s="290"/>
      <c r="L19" s="290"/>
      <c r="M19" s="290"/>
      <c r="N19" s="290"/>
    </row>
    <row r="20" spans="2:16" ht="13.8" thickBot="1">
      <c r="B20" s="1754">
        <v>2562</v>
      </c>
      <c r="C20" s="1755"/>
      <c r="D20" s="1755"/>
      <c r="E20" s="1755"/>
      <c r="F20" s="1755"/>
      <c r="G20" s="1755"/>
      <c r="H20" s="1756"/>
      <c r="I20" s="1757">
        <f>SUM(E20:H20)</f>
        <v>0</v>
      </c>
      <c r="J20" s="290"/>
      <c r="K20" s="290"/>
      <c r="L20" s="290"/>
      <c r="M20" s="290"/>
      <c r="N20" s="290"/>
    </row>
    <row r="21" spans="2:16" ht="13.8" thickBot="1">
      <c r="G21" s="290"/>
      <c r="H21" s="290"/>
    </row>
    <row r="22" spans="2:16" ht="13.35" customHeight="1">
      <c r="B22" s="2090" t="s">
        <v>425</v>
      </c>
      <c r="C22" s="2099" t="s">
        <v>1981</v>
      </c>
      <c r="D22" s="2100"/>
      <c r="E22" s="2100"/>
      <c r="F22" s="2100"/>
      <c r="G22" s="2100"/>
      <c r="H22" s="2101"/>
      <c r="I22" s="2104" t="s">
        <v>167</v>
      </c>
    </row>
    <row r="23" spans="2:16" ht="13.35" customHeight="1" thickBot="1">
      <c r="B23" s="2091"/>
      <c r="C23" s="1758" t="s">
        <v>1975</v>
      </c>
      <c r="D23" s="1751" t="s">
        <v>1976</v>
      </c>
      <c r="E23" s="1751" t="s">
        <v>1977</v>
      </c>
      <c r="F23" s="1751" t="s">
        <v>1978</v>
      </c>
      <c r="G23" s="1751" t="s">
        <v>1971</v>
      </c>
      <c r="H23" s="1751" t="s">
        <v>433</v>
      </c>
      <c r="I23" s="2105"/>
    </row>
    <row r="24" spans="2:16">
      <c r="B24" s="1080">
        <v>2553</v>
      </c>
      <c r="C24" s="1788">
        <f>G11-(SUM(D24:G24))</f>
        <v>0</v>
      </c>
      <c r="D24" s="1083"/>
      <c r="E24" s="1083"/>
      <c r="F24" s="1083"/>
      <c r="G24" s="1083"/>
      <c r="H24" s="1083"/>
      <c r="I24" s="1164">
        <f>SUM(C24:H24)</f>
        <v>0</v>
      </c>
      <c r="J24" s="734"/>
      <c r="L24" s="290"/>
      <c r="M24" s="290"/>
      <c r="N24" s="290"/>
      <c r="O24" s="290"/>
      <c r="P24" s="290"/>
    </row>
    <row r="25" spans="2:16">
      <c r="B25" s="1256">
        <v>2554</v>
      </c>
      <c r="C25" s="1788">
        <f t="shared" ref="C25:C33" si="1">G12-(SUM(D25:G25))</f>
        <v>0</v>
      </c>
      <c r="D25" s="1759"/>
      <c r="E25" s="1759"/>
      <c r="F25" s="1759"/>
      <c r="G25" s="1759"/>
      <c r="H25" s="1759"/>
      <c r="I25" s="1753">
        <f t="shared" ref="I25:I32" si="2">SUM(C25:H25)</f>
        <v>0</v>
      </c>
      <c r="J25" s="734"/>
      <c r="L25" s="290"/>
      <c r="M25" s="290"/>
      <c r="N25" s="290"/>
      <c r="O25" s="290"/>
      <c r="P25" s="290"/>
    </row>
    <row r="26" spans="2:16">
      <c r="B26" s="1256">
        <v>2555</v>
      </c>
      <c r="C26" s="1788">
        <f>G13-(SUM(D26:G26))</f>
        <v>0</v>
      </c>
      <c r="D26" s="1759"/>
      <c r="E26" s="1759"/>
      <c r="F26" s="1759"/>
      <c r="G26" s="1759"/>
      <c r="H26" s="1759"/>
      <c r="I26" s="1753">
        <f t="shared" si="2"/>
        <v>0</v>
      </c>
      <c r="J26" s="734"/>
      <c r="L26" s="290"/>
      <c r="M26" s="290"/>
      <c r="N26" s="290"/>
      <c r="O26" s="290"/>
      <c r="P26" s="290"/>
    </row>
    <row r="27" spans="2:16">
      <c r="B27" s="1256">
        <v>2556</v>
      </c>
      <c r="C27" s="1788">
        <f>G14-(SUM(D27:G27))</f>
        <v>0</v>
      </c>
      <c r="D27" s="1759"/>
      <c r="E27" s="1759"/>
      <c r="F27" s="1759"/>
      <c r="G27" s="1759"/>
      <c r="H27" s="1759"/>
      <c r="I27" s="1753">
        <f t="shared" si="2"/>
        <v>0</v>
      </c>
      <c r="J27" s="734"/>
      <c r="L27" s="290"/>
      <c r="M27" s="290"/>
      <c r="N27" s="290"/>
      <c r="O27" s="290"/>
      <c r="P27" s="290"/>
    </row>
    <row r="28" spans="2:16">
      <c r="B28" s="1256">
        <v>2557</v>
      </c>
      <c r="C28" s="1788">
        <f t="shared" si="1"/>
        <v>0</v>
      </c>
      <c r="D28" s="1759"/>
      <c r="E28" s="1759"/>
      <c r="F28" s="1759"/>
      <c r="G28" s="1759"/>
      <c r="H28" s="1759"/>
      <c r="I28" s="1753">
        <f t="shared" si="2"/>
        <v>0</v>
      </c>
      <c r="J28" s="734"/>
      <c r="L28" s="290"/>
      <c r="M28" s="290"/>
      <c r="N28" s="290"/>
      <c r="O28" s="290"/>
      <c r="P28" s="290"/>
    </row>
    <row r="29" spans="2:16" ht="12.6" customHeight="1">
      <c r="B29" s="1256">
        <v>2558</v>
      </c>
      <c r="C29" s="1788">
        <f>G16-(SUM(D29:G29))</f>
        <v>0</v>
      </c>
      <c r="D29" s="1759"/>
      <c r="E29" s="1759"/>
      <c r="F29" s="1759"/>
      <c r="G29" s="1759"/>
      <c r="H29" s="1759"/>
      <c r="I29" s="1753">
        <f t="shared" si="2"/>
        <v>0</v>
      </c>
      <c r="J29" s="734"/>
      <c r="L29" s="290"/>
      <c r="M29" s="290"/>
      <c r="N29" s="290"/>
      <c r="O29" s="290"/>
      <c r="P29" s="290"/>
    </row>
    <row r="30" spans="2:16">
      <c r="B30" s="1256">
        <v>2559</v>
      </c>
      <c r="C30" s="1788">
        <f t="shared" si="1"/>
        <v>0</v>
      </c>
      <c r="D30" s="1759"/>
      <c r="E30" s="1759"/>
      <c r="F30" s="1759"/>
      <c r="G30" s="1759"/>
      <c r="H30" s="1759"/>
      <c r="I30" s="1753">
        <f t="shared" si="2"/>
        <v>0</v>
      </c>
      <c r="J30" s="734"/>
      <c r="L30" s="290"/>
      <c r="M30" s="290"/>
      <c r="N30" s="290"/>
      <c r="O30" s="290"/>
      <c r="P30" s="290"/>
    </row>
    <row r="31" spans="2:16">
      <c r="B31" s="1256">
        <v>2560</v>
      </c>
      <c r="C31" s="1788">
        <f t="shared" si="1"/>
        <v>0</v>
      </c>
      <c r="D31" s="1759"/>
      <c r="E31" s="1759"/>
      <c r="F31" s="1759"/>
      <c r="G31" s="1759"/>
      <c r="H31" s="1759"/>
      <c r="I31" s="1753">
        <f t="shared" si="2"/>
        <v>0</v>
      </c>
      <c r="J31" s="734"/>
      <c r="L31" s="290"/>
      <c r="M31" s="290"/>
      <c r="N31" s="290"/>
      <c r="O31" s="290"/>
      <c r="P31" s="290"/>
    </row>
    <row r="32" spans="2:16">
      <c r="B32" s="1256">
        <v>2561</v>
      </c>
      <c r="C32" s="1788">
        <f t="shared" si="1"/>
        <v>0</v>
      </c>
      <c r="D32" s="1759"/>
      <c r="E32" s="1759"/>
      <c r="F32" s="1759"/>
      <c r="G32" s="1759"/>
      <c r="H32" s="1759"/>
      <c r="I32" s="1753">
        <f t="shared" si="2"/>
        <v>0</v>
      </c>
      <c r="J32" s="734"/>
      <c r="L32" s="290"/>
      <c r="M32" s="290"/>
      <c r="N32" s="290"/>
      <c r="O32" s="290"/>
      <c r="P32" s="290"/>
    </row>
    <row r="33" spans="1:16" ht="13.8" thickBot="1">
      <c r="B33" s="1258">
        <v>2562</v>
      </c>
      <c r="C33" s="1760">
        <f t="shared" si="1"/>
        <v>0</v>
      </c>
      <c r="D33" s="1761"/>
      <c r="E33" s="1761"/>
      <c r="F33" s="1761"/>
      <c r="G33" s="1761"/>
      <c r="H33" s="1761"/>
      <c r="I33" s="1757">
        <f>SUM(C33:H33)</f>
        <v>0</v>
      </c>
      <c r="J33" s="734"/>
      <c r="L33" s="290"/>
      <c r="M33" s="290"/>
      <c r="N33" s="290"/>
      <c r="O33" s="290"/>
      <c r="P33" s="290"/>
    </row>
    <row r="34" spans="1:16">
      <c r="B34" s="1252" t="s">
        <v>1972</v>
      </c>
      <c r="C34" s="1252" t="s">
        <v>1973</v>
      </c>
      <c r="D34" s="1205"/>
      <c r="E34" s="1205"/>
      <c r="F34" s="1205"/>
      <c r="G34" s="1205"/>
      <c r="H34" s="1205"/>
      <c r="I34" s="1206"/>
      <c r="J34" s="734"/>
      <c r="L34" s="290"/>
      <c r="M34" s="290"/>
      <c r="N34" s="290"/>
      <c r="O34" s="290"/>
      <c r="P34" s="290"/>
    </row>
    <row r="35" spans="1:16">
      <c r="C35" s="1252" t="s">
        <v>1974</v>
      </c>
      <c r="D35" s="1205"/>
      <c r="E35" s="1205"/>
      <c r="F35" s="1205"/>
      <c r="G35" s="1205"/>
      <c r="H35" s="1205"/>
      <c r="I35" s="1206"/>
      <c r="J35" s="734"/>
      <c r="L35" s="290"/>
      <c r="M35" s="290"/>
      <c r="N35" s="290"/>
      <c r="O35" s="290"/>
      <c r="P35" s="290"/>
    </row>
    <row r="36" spans="1:16">
      <c r="B36" s="1252"/>
      <c r="C36" s="1205"/>
      <c r="D36" s="1205"/>
      <c r="E36" s="1205"/>
      <c r="F36" s="1205"/>
      <c r="G36" s="1205"/>
      <c r="H36" s="1205"/>
      <c r="I36" s="1206"/>
      <c r="J36" s="734"/>
      <c r="L36" s="290"/>
      <c r="M36" s="290"/>
      <c r="N36" s="290"/>
      <c r="O36" s="290"/>
      <c r="P36" s="290"/>
    </row>
    <row r="37" spans="1:16">
      <c r="A37" s="116" t="s">
        <v>2292</v>
      </c>
      <c r="B37" s="116"/>
      <c r="C37" s="116"/>
      <c r="D37" s="116"/>
      <c r="E37" s="116"/>
      <c r="F37" s="116"/>
      <c r="G37" s="116"/>
      <c r="H37" s="116"/>
      <c r="I37" s="116"/>
    </row>
    <row r="38" spans="1:16">
      <c r="A38" s="112">
        <v>1</v>
      </c>
      <c r="B38" s="112" t="s">
        <v>1985</v>
      </c>
      <c r="C38" s="111"/>
      <c r="D38" s="111"/>
      <c r="E38" s="111"/>
      <c r="F38" s="111"/>
      <c r="G38" s="111"/>
      <c r="H38" s="111"/>
      <c r="I38" s="111"/>
    </row>
    <row r="39" spans="1:16" ht="13.8" thickBot="1">
      <c r="I39" s="720"/>
    </row>
    <row r="40" spans="1:16" ht="31.8" customHeight="1" thickBot="1">
      <c r="B40" s="1253" t="s">
        <v>425</v>
      </c>
      <c r="C40" s="1254" t="s">
        <v>1982</v>
      </c>
    </row>
    <row r="41" spans="1:16">
      <c r="B41" s="1080">
        <v>2553</v>
      </c>
      <c r="C41" s="1255"/>
      <c r="J41" s="734"/>
    </row>
    <row r="42" spans="1:16">
      <c r="B42" s="1256">
        <v>2554</v>
      </c>
      <c r="C42" s="1257"/>
      <c r="J42" s="734"/>
    </row>
    <row r="43" spans="1:16">
      <c r="B43" s="1256">
        <v>2555</v>
      </c>
      <c r="C43" s="1257"/>
      <c r="J43" s="734"/>
    </row>
    <row r="44" spans="1:16">
      <c r="B44" s="1256">
        <v>2556</v>
      </c>
      <c r="C44" s="1257"/>
      <c r="J44" s="734"/>
    </row>
    <row r="45" spans="1:16">
      <c r="B45" s="1256">
        <v>2557</v>
      </c>
      <c r="C45" s="1257"/>
      <c r="J45" s="734"/>
    </row>
    <row r="46" spans="1:16" ht="12.6" customHeight="1">
      <c r="B46" s="1256">
        <v>2558</v>
      </c>
      <c r="C46" s="1257"/>
      <c r="J46" s="734"/>
    </row>
    <row r="47" spans="1:16">
      <c r="B47" s="1256">
        <v>2559</v>
      </c>
      <c r="C47" s="1257"/>
      <c r="J47" s="734"/>
    </row>
    <row r="48" spans="1:16">
      <c r="B48" s="1256">
        <v>2560</v>
      </c>
      <c r="C48" s="1257"/>
      <c r="J48" s="734"/>
    </row>
    <row r="49" spans="1:10">
      <c r="B49" s="1256">
        <v>2561</v>
      </c>
      <c r="C49" s="1257"/>
      <c r="J49" s="734"/>
    </row>
    <row r="50" spans="1:10" ht="13.8" thickBot="1">
      <c r="B50" s="1258">
        <v>2562</v>
      </c>
      <c r="C50" s="1259"/>
      <c r="J50" s="734"/>
    </row>
    <row r="51" spans="1:10" ht="13.8" thickBot="1">
      <c r="G51" s="290"/>
      <c r="H51" s="290"/>
    </row>
    <row r="52" spans="1:10" ht="39.6">
      <c r="B52" s="1253" t="s">
        <v>425</v>
      </c>
      <c r="C52" s="1762" t="s">
        <v>1979</v>
      </c>
      <c r="D52" s="1762" t="s">
        <v>1980</v>
      </c>
      <c r="E52" s="1762" t="s">
        <v>1983</v>
      </c>
      <c r="F52" s="1254" t="s">
        <v>1984</v>
      </c>
      <c r="G52" s="290"/>
      <c r="H52" s="290"/>
    </row>
    <row r="53" spans="1:10" ht="13.8" thickBot="1">
      <c r="B53" s="1754">
        <v>2562</v>
      </c>
      <c r="C53" s="1763"/>
      <c r="D53" s="1763"/>
      <c r="E53" s="1763"/>
      <c r="F53" s="1764"/>
      <c r="G53" s="290"/>
      <c r="H53" s="290"/>
    </row>
    <row r="54" spans="1:10">
      <c r="A54" s="113"/>
      <c r="B54" s="113"/>
    </row>
    <row r="55" spans="1:10">
      <c r="A55" s="112">
        <v>2</v>
      </c>
      <c r="B55" s="112" t="s">
        <v>434</v>
      </c>
      <c r="C55" s="111"/>
      <c r="D55" s="111"/>
      <c r="E55" s="111"/>
      <c r="F55" s="111"/>
      <c r="G55" s="111"/>
      <c r="H55" s="111"/>
      <c r="I55" s="111"/>
    </row>
    <row r="56" spans="1:10" ht="13.8" thickBot="1">
      <c r="A56" s="113"/>
      <c r="B56" s="113"/>
      <c r="I56" s="117"/>
    </row>
    <row r="57" spans="1:10" ht="26.4">
      <c r="B57" s="1253" t="s">
        <v>425</v>
      </c>
      <c r="C57" s="1254" t="s">
        <v>435</v>
      </c>
    </row>
    <row r="58" spans="1:10" ht="13.8" thickBot="1">
      <c r="B58" s="1754">
        <v>2562</v>
      </c>
      <c r="C58" s="1764"/>
    </row>
    <row r="59" spans="1:10">
      <c r="A59" s="113"/>
      <c r="B59" s="113"/>
      <c r="I59" s="117"/>
    </row>
    <row r="60" spans="1:10">
      <c r="A60" s="112">
        <v>3</v>
      </c>
      <c r="B60" s="112" t="s">
        <v>436</v>
      </c>
      <c r="C60" s="111"/>
      <c r="D60" s="111"/>
      <c r="E60" s="111"/>
      <c r="F60" s="111"/>
      <c r="G60" s="111"/>
      <c r="H60" s="111"/>
      <c r="I60" s="111"/>
    </row>
    <row r="61" spans="1:10" ht="13.8" thickBot="1">
      <c r="A61" s="113"/>
      <c r="B61" s="113"/>
      <c r="I61" s="117"/>
    </row>
    <row r="62" spans="1:10" ht="26.4">
      <c r="B62" s="1253" t="s">
        <v>425</v>
      </c>
      <c r="C62" s="1765" t="s">
        <v>437</v>
      </c>
    </row>
    <row r="63" spans="1:10" ht="13.8" thickBot="1">
      <c r="B63" s="1754">
        <v>2562</v>
      </c>
      <c r="C63" s="1764"/>
    </row>
    <row r="64" spans="1:10">
      <c r="A64" s="113"/>
      <c r="B64" s="113"/>
      <c r="I64" s="117"/>
    </row>
    <row r="65" spans="1:10">
      <c r="A65" s="116" t="s">
        <v>2293</v>
      </c>
      <c r="B65" s="116"/>
      <c r="C65" s="116"/>
      <c r="D65" s="116"/>
      <c r="E65" s="116"/>
      <c r="F65" s="116"/>
      <c r="G65" s="116"/>
      <c r="H65" s="116"/>
      <c r="I65" s="116"/>
    </row>
    <row r="66" spans="1:10">
      <c r="A66" s="112">
        <v>1</v>
      </c>
      <c r="B66" s="112" t="s">
        <v>1985</v>
      </c>
      <c r="C66" s="111"/>
      <c r="D66" s="111"/>
      <c r="E66" s="111"/>
      <c r="F66" s="111"/>
      <c r="G66" s="111"/>
      <c r="H66" s="111"/>
      <c r="I66" s="111"/>
    </row>
    <row r="67" spans="1:10" ht="13.8" thickBot="1">
      <c r="I67" s="720"/>
    </row>
    <row r="68" spans="1:10" ht="27" thickBot="1">
      <c r="B68" s="1253" t="s">
        <v>425</v>
      </c>
      <c r="C68" s="1254" t="s">
        <v>1982</v>
      </c>
    </row>
    <row r="69" spans="1:10">
      <c r="B69" s="1080">
        <v>2553</v>
      </c>
      <c r="C69" s="1255"/>
      <c r="J69" s="734"/>
    </row>
    <row r="70" spans="1:10">
      <c r="B70" s="1256">
        <v>2554</v>
      </c>
      <c r="C70" s="1257"/>
      <c r="J70" s="734"/>
    </row>
    <row r="71" spans="1:10">
      <c r="B71" s="1256">
        <v>2555</v>
      </c>
      <c r="C71" s="1257"/>
      <c r="J71" s="734"/>
    </row>
    <row r="72" spans="1:10">
      <c r="B72" s="1256">
        <v>2556</v>
      </c>
      <c r="C72" s="1257"/>
      <c r="J72" s="734"/>
    </row>
    <row r="73" spans="1:10">
      <c r="B73" s="1256">
        <v>2557</v>
      </c>
      <c r="C73" s="1257"/>
      <c r="J73" s="734"/>
    </row>
    <row r="74" spans="1:10" ht="12.6" customHeight="1">
      <c r="B74" s="1256">
        <v>2558</v>
      </c>
      <c r="C74" s="1257"/>
      <c r="J74" s="734"/>
    </row>
    <row r="75" spans="1:10">
      <c r="B75" s="1256">
        <v>2559</v>
      </c>
      <c r="C75" s="1257"/>
      <c r="J75" s="734"/>
    </row>
    <row r="76" spans="1:10">
      <c r="B76" s="1256">
        <v>2560</v>
      </c>
      <c r="C76" s="1257"/>
      <c r="J76" s="734"/>
    </row>
    <row r="77" spans="1:10">
      <c r="B77" s="1256">
        <v>2561</v>
      </c>
      <c r="C77" s="1257"/>
      <c r="J77" s="734"/>
    </row>
    <row r="78" spans="1:10" ht="13.8" thickBot="1">
      <c r="B78" s="1258">
        <v>2562</v>
      </c>
      <c r="C78" s="1259"/>
      <c r="J78" s="734"/>
    </row>
    <row r="79" spans="1:10" ht="13.8" thickBot="1">
      <c r="G79" s="290"/>
      <c r="H79" s="290"/>
    </row>
    <row r="80" spans="1:10" ht="39.6">
      <c r="B80" s="1253" t="s">
        <v>425</v>
      </c>
      <c r="C80" s="1762" t="s">
        <v>1979</v>
      </c>
      <c r="D80" s="1762" t="s">
        <v>1980</v>
      </c>
      <c r="E80" s="1762" t="s">
        <v>1983</v>
      </c>
      <c r="F80" s="1254" t="s">
        <v>1984</v>
      </c>
      <c r="G80" s="290"/>
      <c r="H80" s="290"/>
    </row>
    <row r="81" spans="1:9" ht="13.8" thickBot="1">
      <c r="B81" s="1754">
        <v>2562</v>
      </c>
      <c r="C81" s="1763"/>
      <c r="D81" s="1763"/>
      <c r="E81" s="1763"/>
      <c r="F81" s="1764"/>
      <c r="G81" s="290"/>
      <c r="H81" s="290"/>
    </row>
    <row r="82" spans="1:9">
      <c r="G82" s="290"/>
      <c r="H82" s="290"/>
    </row>
    <row r="83" spans="1:9">
      <c r="A83" s="112">
        <v>2</v>
      </c>
      <c r="B83" s="112" t="s">
        <v>434</v>
      </c>
      <c r="C83" s="111"/>
      <c r="D83" s="111"/>
      <c r="E83" s="111"/>
      <c r="F83" s="111"/>
      <c r="G83" s="111"/>
      <c r="H83" s="111"/>
      <c r="I83" s="111"/>
    </row>
    <row r="84" spans="1:9" ht="13.8" thickBot="1">
      <c r="A84" s="113"/>
      <c r="B84" s="113"/>
      <c r="I84" s="117"/>
    </row>
    <row r="85" spans="1:9" ht="26.4">
      <c r="B85" s="1253" t="s">
        <v>425</v>
      </c>
      <c r="C85" s="1254" t="s">
        <v>435</v>
      </c>
    </row>
    <row r="86" spans="1:9" ht="13.8" thickBot="1">
      <c r="B86" s="1754">
        <v>2562</v>
      </c>
      <c r="C86" s="1764"/>
    </row>
    <row r="87" spans="1:9">
      <c r="A87" s="113"/>
      <c r="B87" s="113"/>
      <c r="I87" s="117"/>
    </row>
    <row r="88" spans="1:9">
      <c r="A88" s="112">
        <v>3</v>
      </c>
      <c r="B88" s="112" t="s">
        <v>436</v>
      </c>
      <c r="C88" s="111"/>
      <c r="D88" s="111"/>
      <c r="E88" s="111"/>
      <c r="F88" s="111"/>
      <c r="G88" s="111"/>
      <c r="H88" s="111"/>
      <c r="I88" s="111"/>
    </row>
    <row r="89" spans="1:9" ht="13.8" thickBot="1">
      <c r="A89" s="113"/>
      <c r="B89" s="113"/>
      <c r="I89" s="117"/>
    </row>
    <row r="90" spans="1:9" ht="26.4">
      <c r="B90" s="1253" t="s">
        <v>425</v>
      </c>
      <c r="C90" s="1765" t="s">
        <v>437</v>
      </c>
    </row>
    <row r="91" spans="1:9" ht="13.8" thickBot="1">
      <c r="B91" s="1754">
        <v>2562</v>
      </c>
      <c r="C91" s="1764"/>
    </row>
    <row r="92" spans="1:9">
      <c r="B92" s="1203"/>
      <c r="C92" s="1067"/>
    </row>
    <row r="93" spans="1:9">
      <c r="A93" s="116" t="s">
        <v>1959</v>
      </c>
      <c r="B93" s="116"/>
      <c r="C93" s="116"/>
      <c r="D93" s="116"/>
      <c r="E93" s="116"/>
      <c r="F93" s="116"/>
      <c r="G93" s="116"/>
      <c r="H93" s="116"/>
      <c r="I93" s="116"/>
    </row>
    <row r="94" spans="1:9">
      <c r="A94" s="112">
        <v>1</v>
      </c>
      <c r="B94" s="112" t="s">
        <v>1985</v>
      </c>
      <c r="C94" s="111"/>
      <c r="D94" s="111"/>
      <c r="E94" s="111"/>
      <c r="F94" s="111"/>
      <c r="G94" s="111"/>
      <c r="H94" s="111"/>
      <c r="I94" s="111"/>
    </row>
    <row r="95" spans="1:9" ht="13.8" thickBot="1">
      <c r="A95" s="113"/>
      <c r="B95" s="113"/>
      <c r="I95" s="117"/>
    </row>
    <row r="96" spans="1:9" ht="27" thickBot="1">
      <c r="B96" s="1253" t="s">
        <v>425</v>
      </c>
      <c r="C96" s="1254" t="s">
        <v>1982</v>
      </c>
    </row>
    <row r="97" spans="1:10">
      <c r="B97" s="1080">
        <v>2553</v>
      </c>
      <c r="C97" s="1255"/>
      <c r="J97" s="734"/>
    </row>
    <row r="98" spans="1:10">
      <c r="B98" s="1256">
        <v>2554</v>
      </c>
      <c r="C98" s="1257"/>
      <c r="J98" s="734"/>
    </row>
    <row r="99" spans="1:10">
      <c r="B99" s="1256">
        <v>2555</v>
      </c>
      <c r="C99" s="1257"/>
      <c r="J99" s="734"/>
    </row>
    <row r="100" spans="1:10">
      <c r="B100" s="1256">
        <v>2556</v>
      </c>
      <c r="C100" s="1257"/>
      <c r="J100" s="734"/>
    </row>
    <row r="101" spans="1:10">
      <c r="B101" s="1256">
        <v>2557</v>
      </c>
      <c r="C101" s="1257"/>
      <c r="J101" s="734"/>
    </row>
    <row r="102" spans="1:10" ht="12.6" customHeight="1">
      <c r="B102" s="1256">
        <v>2558</v>
      </c>
      <c r="C102" s="1257"/>
      <c r="J102" s="734"/>
    </row>
    <row r="103" spans="1:10">
      <c r="B103" s="1256">
        <v>2559</v>
      </c>
      <c r="C103" s="1257"/>
      <c r="J103" s="734"/>
    </row>
    <row r="104" spans="1:10">
      <c r="B104" s="1256">
        <v>2560</v>
      </c>
      <c r="C104" s="1257"/>
      <c r="J104" s="734"/>
    </row>
    <row r="105" spans="1:10">
      <c r="B105" s="1256">
        <v>2561</v>
      </c>
      <c r="C105" s="1257"/>
      <c r="J105" s="734"/>
    </row>
    <row r="106" spans="1:10" ht="13.8" thickBot="1">
      <c r="B106" s="1258">
        <v>2562</v>
      </c>
      <c r="C106" s="1259"/>
      <c r="J106" s="734"/>
    </row>
    <row r="107" spans="1:10" ht="13.8" thickBot="1">
      <c r="G107" s="290"/>
      <c r="H107" s="290"/>
    </row>
    <row r="108" spans="1:10" ht="39.6">
      <c r="B108" s="1253" t="s">
        <v>425</v>
      </c>
      <c r="C108" s="1762" t="s">
        <v>1979</v>
      </c>
      <c r="D108" s="1762" t="s">
        <v>1980</v>
      </c>
      <c r="E108" s="1762" t="s">
        <v>1983</v>
      </c>
      <c r="F108" s="1254" t="s">
        <v>1984</v>
      </c>
      <c r="G108" s="290"/>
      <c r="H108" s="290"/>
    </row>
    <row r="109" spans="1:10" ht="13.8" thickBot="1">
      <c r="B109" s="1754">
        <v>2562</v>
      </c>
      <c r="C109" s="1763"/>
      <c r="D109" s="1763"/>
      <c r="E109" s="1763"/>
      <c r="F109" s="1764"/>
      <c r="G109" s="290"/>
      <c r="H109" s="290"/>
    </row>
    <row r="110" spans="1:10">
      <c r="B110" s="1204"/>
      <c r="C110" s="1205"/>
      <c r="D110" s="1205"/>
      <c r="E110" s="1205"/>
      <c r="F110" s="1205"/>
      <c r="G110" s="1205"/>
      <c r="H110" s="1205"/>
      <c r="I110" s="1206"/>
    </row>
    <row r="111" spans="1:10">
      <c r="A111" s="112">
        <v>2</v>
      </c>
      <c r="B111" s="112" t="s">
        <v>434</v>
      </c>
      <c r="C111" s="111"/>
      <c r="D111" s="111"/>
      <c r="E111" s="111"/>
      <c r="F111" s="111"/>
      <c r="G111" s="111"/>
      <c r="H111" s="111"/>
      <c r="I111" s="111"/>
    </row>
    <row r="112" spans="1:10" ht="13.8" thickBot="1">
      <c r="A112" s="113"/>
      <c r="B112" s="113"/>
      <c r="I112" s="117"/>
    </row>
    <row r="113" spans="1:9" ht="26.4">
      <c r="B113" s="1253" t="s">
        <v>425</v>
      </c>
      <c r="C113" s="1254" t="s">
        <v>435</v>
      </c>
    </row>
    <row r="114" spans="1:9" ht="13.8" thickBot="1">
      <c r="B114" s="1754">
        <v>2562</v>
      </c>
      <c r="C114" s="1764"/>
    </row>
    <row r="116" spans="1:9">
      <c r="A116" s="112">
        <v>3</v>
      </c>
      <c r="B116" s="112" t="s">
        <v>436</v>
      </c>
      <c r="C116" s="111"/>
      <c r="D116" s="111"/>
      <c r="E116" s="111"/>
      <c r="F116" s="111"/>
      <c r="G116" s="111"/>
      <c r="H116" s="111"/>
      <c r="I116" s="111"/>
    </row>
    <row r="117" spans="1:9" ht="13.8" thickBot="1">
      <c r="A117" s="113"/>
      <c r="B117" s="113"/>
      <c r="I117" s="117"/>
    </row>
    <row r="118" spans="1:9" ht="26.4">
      <c r="B118" s="1253" t="s">
        <v>425</v>
      </c>
      <c r="C118" s="1765" t="s">
        <v>437</v>
      </c>
    </row>
    <row r="119" spans="1:9" ht="13.8" thickBot="1">
      <c r="B119" s="1754">
        <v>2562</v>
      </c>
      <c r="C119" s="1766"/>
    </row>
  </sheetData>
  <mergeCells count="12">
    <mergeCell ref="I22:I23"/>
    <mergeCell ref="E9:E10"/>
    <mergeCell ref="F9:F10"/>
    <mergeCell ref="G9:G10"/>
    <mergeCell ref="H9:H10"/>
    <mergeCell ref="I8:I10"/>
    <mergeCell ref="B8:B10"/>
    <mergeCell ref="C8:C10"/>
    <mergeCell ref="B22:B23"/>
    <mergeCell ref="D8:H8"/>
    <mergeCell ref="C22:H22"/>
    <mergeCell ref="D9:D10"/>
  </mergeCells>
  <phoneticPr fontId="118"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R93"/>
  <sheetViews>
    <sheetView zoomScale="55" zoomScaleNormal="55" zoomScaleSheetLayoutView="85" workbookViewId="0">
      <pane xSplit="3" ySplit="9" topLeftCell="D10" activePane="bottomRight" state="frozen"/>
      <selection pane="topRight" activeCell="D1" sqref="D1"/>
      <selection pane="bottomLeft" activeCell="A10" sqref="A10"/>
      <selection pane="bottomRight" activeCell="D12" sqref="D12"/>
    </sheetView>
  </sheetViews>
  <sheetFormatPr defaultColWidth="8.6640625" defaultRowHeight="13.2"/>
  <cols>
    <col min="1" max="1" width="8.44140625" style="99" customWidth="1"/>
    <col min="2" max="2" width="50.44140625" style="99" customWidth="1"/>
    <col min="3" max="3" width="30.44140625" style="99" customWidth="1"/>
    <col min="4" max="4" width="15.44140625" style="99" customWidth="1"/>
    <col min="5" max="5" width="20.44140625" style="99" bestFit="1" customWidth="1"/>
    <col min="6" max="13" width="10.44140625" style="99" customWidth="1"/>
    <col min="14" max="14" width="13.44140625" style="99" customWidth="1"/>
    <col min="15" max="16" width="10.44140625" style="99" customWidth="1"/>
    <col min="17" max="17" width="27.33203125" style="99" customWidth="1"/>
    <col min="18" max="18" width="12.109375" style="99" customWidth="1"/>
    <col min="19" max="16384" width="8.6640625" style="99"/>
  </cols>
  <sheetData>
    <row r="1" spans="1:18" s="123" customFormat="1">
      <c r="A1" s="122" t="s">
        <v>153</v>
      </c>
      <c r="C1" s="1399"/>
      <c r="D1" s="122"/>
      <c r="E1" s="122"/>
      <c r="F1" s="122"/>
      <c r="G1" s="122"/>
      <c r="H1" s="122"/>
      <c r="I1" s="122"/>
      <c r="J1" s="122"/>
      <c r="K1" s="122"/>
      <c r="L1" s="122"/>
      <c r="M1" s="122"/>
    </row>
    <row r="3" spans="1:18">
      <c r="A3" s="120" t="s">
        <v>254</v>
      </c>
      <c r="B3" s="1413">
        <f>'City information'!$C$4</f>
        <v>0</v>
      </c>
      <c r="C3" s="1400"/>
      <c r="D3" s="120"/>
      <c r="E3" s="120"/>
      <c r="F3" s="120"/>
      <c r="G3" s="120"/>
      <c r="H3" s="120"/>
      <c r="I3" s="120"/>
      <c r="J3" s="120"/>
      <c r="K3" s="120"/>
      <c r="L3" s="120"/>
      <c r="M3" s="120"/>
      <c r="N3" s="120"/>
      <c r="O3" s="120"/>
      <c r="P3" s="120"/>
      <c r="Q3" s="120"/>
    </row>
    <row r="4" spans="1:18">
      <c r="A4" s="120" t="s">
        <v>140</v>
      </c>
      <c r="B4" s="1413">
        <f>'City information'!$C$5</f>
        <v>2562</v>
      </c>
      <c r="C4" s="1400"/>
      <c r="D4" s="120"/>
      <c r="E4" s="120"/>
      <c r="F4" s="120"/>
      <c r="G4" s="120"/>
      <c r="H4" s="120"/>
      <c r="I4" s="120"/>
      <c r="J4" s="120"/>
      <c r="K4" s="120"/>
      <c r="L4" s="120"/>
      <c r="M4" s="120"/>
      <c r="N4" s="120"/>
      <c r="O4" s="120"/>
      <c r="P4" s="120"/>
      <c r="Q4" s="120"/>
    </row>
    <row r="5" spans="1:18">
      <c r="G5" s="2117" t="s">
        <v>438</v>
      </c>
      <c r="H5" s="2117"/>
      <c r="I5" s="2117"/>
      <c r="J5" s="1722">
        <f>GPC!$F$84</f>
        <v>1</v>
      </c>
      <c r="K5" s="1722">
        <f>GPC!$F$85</f>
        <v>28</v>
      </c>
      <c r="L5" s="856">
        <f>GPC!$F$86</f>
        <v>30</v>
      </c>
      <c r="M5" s="1722">
        <f>GPC!$F$87</f>
        <v>265</v>
      </c>
    </row>
    <row r="7" spans="1:18" ht="14.4">
      <c r="A7" s="2113" t="s">
        <v>439</v>
      </c>
      <c r="B7" s="2113"/>
      <c r="C7" s="2113" t="s">
        <v>440</v>
      </c>
      <c r="D7" s="2113" t="s">
        <v>2434</v>
      </c>
      <c r="E7" s="2113" t="s">
        <v>441</v>
      </c>
      <c r="F7" s="2113" t="s">
        <v>258</v>
      </c>
      <c r="G7" s="2114" t="s">
        <v>442</v>
      </c>
      <c r="H7" s="2114"/>
      <c r="I7" s="2114"/>
      <c r="J7" s="2114" t="s">
        <v>2473</v>
      </c>
      <c r="K7" s="2114"/>
      <c r="L7" s="2114"/>
      <c r="M7" s="2114"/>
      <c r="N7" s="2112" t="s">
        <v>2474</v>
      </c>
      <c r="O7" s="2112"/>
      <c r="P7" s="2112"/>
      <c r="Q7" s="2112"/>
    </row>
    <row r="8" spans="1:18" ht="14.4">
      <c r="A8" s="2113"/>
      <c r="B8" s="2113"/>
      <c r="C8" s="2113"/>
      <c r="D8" s="2113"/>
      <c r="E8" s="2113"/>
      <c r="F8" s="2113"/>
      <c r="G8" s="100" t="s">
        <v>443</v>
      </c>
      <c r="H8" s="100" t="s">
        <v>444</v>
      </c>
      <c r="I8" s="100" t="s">
        <v>445</v>
      </c>
      <c r="J8" s="101" t="s">
        <v>443</v>
      </c>
      <c r="K8" s="101" t="s">
        <v>444</v>
      </c>
      <c r="L8" s="101" t="s">
        <v>445</v>
      </c>
      <c r="M8" s="101" t="s">
        <v>446</v>
      </c>
      <c r="N8" s="102" t="s">
        <v>443</v>
      </c>
      <c r="O8" s="102" t="s">
        <v>444</v>
      </c>
      <c r="P8" s="102" t="s">
        <v>445</v>
      </c>
      <c r="Q8" s="102" t="s">
        <v>446</v>
      </c>
    </row>
    <row r="9" spans="1:18" ht="13.8" thickBot="1">
      <c r="A9" s="111" t="s">
        <v>447</v>
      </c>
      <c r="B9" s="112"/>
      <c r="C9" s="112"/>
      <c r="D9" s="1737"/>
      <c r="E9" s="111"/>
      <c r="F9" s="111"/>
      <c r="G9" s="111"/>
      <c r="H9" s="111"/>
      <c r="I9" s="111"/>
      <c r="J9" s="111"/>
      <c r="K9" s="111"/>
      <c r="L9" s="111"/>
      <c r="M9" s="111"/>
      <c r="N9" s="111"/>
      <c r="O9" s="111"/>
      <c r="P9" s="111"/>
      <c r="Q9" s="111"/>
    </row>
    <row r="10" spans="1:18">
      <c r="A10" s="2122" t="s">
        <v>448</v>
      </c>
      <c r="B10" s="2121" t="s">
        <v>449</v>
      </c>
      <c r="C10" s="528" t="s">
        <v>295</v>
      </c>
      <c r="D10" s="1677"/>
      <c r="E10" s="711">
        <f>'Energy_Input DATA'!C39/'Conversion factor'!$I$14</f>
        <v>0</v>
      </c>
      <c r="F10" s="529" t="s">
        <v>380</v>
      </c>
      <c r="G10" s="530">
        <f>('Conversion factor'!$E$12*'Conversion factor'!$I$17)*EF_Stationary!$C$200</f>
        <v>1.6797219999999999</v>
      </c>
      <c r="H10" s="531">
        <f>('Conversion factor'!$E$12*'Conversion factor'!$I$17)*EF_Stationary!$F$200</f>
        <v>1.3309999999999998E-4</v>
      </c>
      <c r="I10" s="531">
        <f>('Conversion factor'!$E$12*'Conversion factor'!$I$17)*EF_Stationary!$I$200</f>
        <v>2.6620000000000001E-6</v>
      </c>
      <c r="J10" s="530">
        <f>G10*$J$5</f>
        <v>1.6797219999999999</v>
      </c>
      <c r="K10" s="531">
        <f>H10*$L$5</f>
        <v>3.9929999999999992E-3</v>
      </c>
      <c r="L10" s="531">
        <f>I10*$M$5</f>
        <v>7.0543000000000005E-4</v>
      </c>
      <c r="M10" s="532">
        <f>SUM(J10:L10)</f>
        <v>1.6844204299999999</v>
      </c>
      <c r="N10" s="533">
        <f t="shared" ref="N10:P11" si="0">($E10*J10)/10^3</f>
        <v>0</v>
      </c>
      <c r="O10" s="533">
        <f t="shared" si="0"/>
        <v>0</v>
      </c>
      <c r="P10" s="533">
        <f t="shared" si="0"/>
        <v>0</v>
      </c>
      <c r="Q10" s="1104">
        <f>ROUND(SUM(N10:P10),2)</f>
        <v>0</v>
      </c>
      <c r="R10" s="106"/>
    </row>
    <row r="11" spans="1:18">
      <c r="A11" s="2115"/>
      <c r="B11" s="2116"/>
      <c r="C11" s="180" t="s">
        <v>420</v>
      </c>
      <c r="D11" s="1677"/>
      <c r="E11" s="534">
        <f>'Energy_Input DATA'!D39</f>
        <v>0</v>
      </c>
      <c r="F11" s="103" t="s">
        <v>380</v>
      </c>
      <c r="G11" s="535">
        <f>('Conversion factor'!$E$16*'Conversion factor'!$I$17)*EF_Stationary!$C$198</f>
        <v>2.6987220000000001</v>
      </c>
      <c r="H11" s="536">
        <f>('Conversion factor'!$E$16*'Conversion factor'!$I$17)*EF_Stationary!$F$198</f>
        <v>3.6420000000000002E-4</v>
      </c>
      <c r="I11" s="536">
        <f>('Conversion factor'!$E$16*'Conversion factor'!$I$17)*EF_Stationary!$I$198</f>
        <v>2.1852E-5</v>
      </c>
      <c r="J11" s="535">
        <f t="shared" ref="J11:J61" si="1">G11*$J$5</f>
        <v>2.6987220000000001</v>
      </c>
      <c r="K11" s="536">
        <f>H11*$L$5</f>
        <v>1.0926E-2</v>
      </c>
      <c r="L11" s="536">
        <f t="shared" ref="L11:L41" si="2">I11*$M$5</f>
        <v>5.7907799999999997E-3</v>
      </c>
      <c r="M11" s="537">
        <f t="shared" ref="M11:M61" si="3">SUM(J11:L11)</f>
        <v>2.7154387799999999</v>
      </c>
      <c r="N11" s="538">
        <f t="shared" si="0"/>
        <v>0</v>
      </c>
      <c r="O11" s="538">
        <f t="shared" si="0"/>
        <v>0</v>
      </c>
      <c r="P11" s="538">
        <f t="shared" si="0"/>
        <v>0</v>
      </c>
      <c r="Q11" s="540">
        <f>ROUND(SUM(N11:P11),2)</f>
        <v>0</v>
      </c>
    </row>
    <row r="12" spans="1:18">
      <c r="A12" s="2115"/>
      <c r="B12" s="2116"/>
      <c r="C12" s="180" t="s">
        <v>419</v>
      </c>
      <c r="D12" s="1677"/>
      <c r="E12" s="534">
        <f>'Energy_Input DATA'!G39</f>
        <v>0</v>
      </c>
      <c r="F12" s="103" t="s">
        <v>380</v>
      </c>
      <c r="G12" s="535">
        <f>('Conversion factor'!$E$13*'Conversion factor'!$I$17)*EF_Stationary!$C$192</f>
        <v>2.1815639999999998</v>
      </c>
      <c r="H12" s="536">
        <f>('Conversion factor'!$E$13*'Conversion factor'!$I$17)*EF_Stationary!$F$192</f>
        <v>3.1479999999999995E-4</v>
      </c>
      <c r="I12" s="536">
        <f>('Conversion factor'!$E$13*'Conversion factor'!$I$17)*EF_Stationary!$I$192</f>
        <v>1.8887999999999996E-5</v>
      </c>
      <c r="J12" s="535">
        <f>G12*$J$5</f>
        <v>2.1815639999999998</v>
      </c>
      <c r="K12" s="536">
        <f t="shared" ref="K12:K18" si="4">H12*$L$5</f>
        <v>9.4439999999999993E-3</v>
      </c>
      <c r="L12" s="536">
        <f t="shared" si="2"/>
        <v>5.0053199999999989E-3</v>
      </c>
      <c r="M12" s="537">
        <f t="shared" si="3"/>
        <v>2.1960133199999996</v>
      </c>
      <c r="N12" s="538">
        <f t="shared" ref="N12:N65" si="5">($E12*J12)/10^3</f>
        <v>0</v>
      </c>
      <c r="O12" s="538">
        <f t="shared" ref="O12:O65" si="6">($E12*K12)/10^3</f>
        <v>0</v>
      </c>
      <c r="P12" s="538">
        <f t="shared" ref="P12:P65" si="7">($E12*L12)/10^3</f>
        <v>0</v>
      </c>
      <c r="Q12" s="540">
        <f t="shared" ref="Q12:Q65" si="8">ROUND(SUM(N12:P12),2)</f>
        <v>0</v>
      </c>
    </row>
    <row r="13" spans="1:18">
      <c r="A13" s="2115"/>
      <c r="B13" s="2116"/>
      <c r="C13" s="180" t="s">
        <v>450</v>
      </c>
      <c r="D13" s="1677"/>
      <c r="E13" s="534">
        <f>'Energy_Input DATA'!H39</f>
        <v>0</v>
      </c>
      <c r="F13" s="103" t="s">
        <v>380</v>
      </c>
      <c r="G13" s="535">
        <f>('Conversion factor'!$E$17*'Conversion factor'!$I$17)*EF_Stationary!$C$199</f>
        <v>3.078198</v>
      </c>
      <c r="H13" s="536">
        <f>('Conversion factor'!$E$17*'Conversion factor'!$I$17)*EF_Stationary!$F$199</f>
        <v>3.9770000000000002E-4</v>
      </c>
      <c r="I13" s="536">
        <f>('Conversion factor'!$E$17*'Conversion factor'!$I$17)*EF_Stationary!$I$199</f>
        <v>2.3862E-5</v>
      </c>
      <c r="J13" s="535">
        <f t="shared" si="1"/>
        <v>3.078198</v>
      </c>
      <c r="K13" s="536">
        <f t="shared" si="4"/>
        <v>1.1931000000000001E-2</v>
      </c>
      <c r="L13" s="536">
        <f t="shared" si="2"/>
        <v>6.3234299999999997E-3</v>
      </c>
      <c r="M13" s="537">
        <f t="shared" si="3"/>
        <v>3.0964524300000003</v>
      </c>
      <c r="N13" s="538">
        <f t="shared" si="5"/>
        <v>0</v>
      </c>
      <c r="O13" s="538">
        <f t="shared" si="6"/>
        <v>0</v>
      </c>
      <c r="P13" s="538">
        <f t="shared" si="7"/>
        <v>0</v>
      </c>
      <c r="Q13" s="540">
        <f t="shared" si="8"/>
        <v>0</v>
      </c>
    </row>
    <row r="14" spans="1:18">
      <c r="A14" s="2115" t="s">
        <v>177</v>
      </c>
      <c r="B14" s="2116" t="s">
        <v>451</v>
      </c>
      <c r="C14" s="180" t="s">
        <v>295</v>
      </c>
      <c r="D14" s="1677"/>
      <c r="E14" s="1251">
        <f>'Energy_Input DATA'!C40/'Conversion factor'!$I$14</f>
        <v>0</v>
      </c>
      <c r="F14" s="103" t="s">
        <v>380</v>
      </c>
      <c r="G14" s="535">
        <f>('Conversion factor'!$E$12*'Conversion factor'!$I$17)*EF_Stationary!$C$141</f>
        <v>1.6797219999999999</v>
      </c>
      <c r="H14" s="536">
        <f>('Conversion factor'!$E$12*'Conversion factor'!$I$17)*EF_Stationary!$F$141</f>
        <v>1.3309999999999998E-4</v>
      </c>
      <c r="I14" s="536">
        <f>('Conversion factor'!$E$12*'Conversion factor'!$I$17)*EF_Stationary!$I$141</f>
        <v>2.6620000000000001E-6</v>
      </c>
      <c r="J14" s="535">
        <f t="shared" si="1"/>
        <v>1.6797219999999999</v>
      </c>
      <c r="K14" s="536">
        <f t="shared" si="4"/>
        <v>3.9929999999999992E-3</v>
      </c>
      <c r="L14" s="536">
        <f t="shared" si="2"/>
        <v>7.0543000000000005E-4</v>
      </c>
      <c r="M14" s="537">
        <f t="shared" si="3"/>
        <v>1.6844204299999999</v>
      </c>
      <c r="N14" s="538">
        <f t="shared" si="5"/>
        <v>0</v>
      </c>
      <c r="O14" s="538">
        <f t="shared" si="6"/>
        <v>0</v>
      </c>
      <c r="P14" s="538">
        <f t="shared" si="7"/>
        <v>0</v>
      </c>
      <c r="Q14" s="540">
        <f t="shared" si="8"/>
        <v>0</v>
      </c>
    </row>
    <row r="15" spans="1:18">
      <c r="A15" s="2115"/>
      <c r="B15" s="2116"/>
      <c r="C15" s="180" t="s">
        <v>420</v>
      </c>
      <c r="D15" s="1677"/>
      <c r="E15" s="1251">
        <f>'Energy_Input DATA'!D40</f>
        <v>0</v>
      </c>
      <c r="F15" s="103" t="s">
        <v>380</v>
      </c>
      <c r="G15" s="535">
        <f>'Conversion factor'!$E$16*'Conversion factor'!$I$17*EF_Stationary!$C$139</f>
        <v>2.6987220000000001</v>
      </c>
      <c r="H15" s="536">
        <f>'Conversion factor'!$E$16*'Conversion factor'!$I$17*EF_Stationary!$F$139</f>
        <v>3.6420000000000002E-4</v>
      </c>
      <c r="I15" s="536">
        <f>'Conversion factor'!$E$16*'Conversion factor'!$I$17*EF_Stationary!$I$139</f>
        <v>2.1852E-5</v>
      </c>
      <c r="J15" s="535">
        <f t="shared" si="1"/>
        <v>2.6987220000000001</v>
      </c>
      <c r="K15" s="536">
        <f t="shared" si="4"/>
        <v>1.0926E-2</v>
      </c>
      <c r="L15" s="536">
        <f t="shared" si="2"/>
        <v>5.7907799999999997E-3</v>
      </c>
      <c r="M15" s="537">
        <f t="shared" si="3"/>
        <v>2.7154387799999999</v>
      </c>
      <c r="N15" s="538">
        <f t="shared" si="5"/>
        <v>0</v>
      </c>
      <c r="O15" s="538">
        <f t="shared" si="6"/>
        <v>0</v>
      </c>
      <c r="P15" s="538">
        <f t="shared" si="7"/>
        <v>0</v>
      </c>
      <c r="Q15" s="540">
        <f t="shared" si="8"/>
        <v>0</v>
      </c>
    </row>
    <row r="16" spans="1:18">
      <c r="A16" s="2115"/>
      <c r="B16" s="2116"/>
      <c r="C16" s="180" t="s">
        <v>303</v>
      </c>
      <c r="D16" s="1677"/>
      <c r="E16" s="1251">
        <f>'Energy_Input DATA'!E40+'Energy_Input DATA'!F40</f>
        <v>0</v>
      </c>
      <c r="F16" s="103" t="s">
        <v>380</v>
      </c>
      <c r="G16" s="535">
        <f>'Conversion factor'!$E$16*'Conversion factor'!$I$17*EF_Stationary!$C$139</f>
        <v>2.6987220000000001</v>
      </c>
      <c r="H16" s="536">
        <f>'Conversion factor'!$E$16*'Conversion factor'!$I$17*EF_Stationary!$F$139</f>
        <v>3.6420000000000002E-4</v>
      </c>
      <c r="I16" s="536">
        <f>'Conversion factor'!$E$16*'Conversion factor'!$I$17*EF_Stationary!$I$139</f>
        <v>2.1852E-5</v>
      </c>
      <c r="J16" s="535">
        <f>G16*$J$5</f>
        <v>2.6987220000000001</v>
      </c>
      <c r="K16" s="536">
        <f t="shared" si="4"/>
        <v>1.0926E-2</v>
      </c>
      <c r="L16" s="536">
        <f t="shared" si="2"/>
        <v>5.7907799999999997E-3</v>
      </c>
      <c r="M16" s="537">
        <f>SUM(J16:L16)</f>
        <v>2.7154387799999999</v>
      </c>
      <c r="N16" s="538">
        <f t="shared" si="5"/>
        <v>0</v>
      </c>
      <c r="O16" s="538">
        <f t="shared" si="6"/>
        <v>0</v>
      </c>
      <c r="P16" s="538">
        <f t="shared" si="7"/>
        <v>0</v>
      </c>
      <c r="Q16" s="540">
        <f t="shared" si="8"/>
        <v>0</v>
      </c>
    </row>
    <row r="17" spans="1:17">
      <c r="A17" s="2115"/>
      <c r="B17" s="2116"/>
      <c r="C17" s="99" t="s">
        <v>382</v>
      </c>
      <c r="D17" s="1677"/>
      <c r="E17" s="1251">
        <f>'Energy_Input DATA'!I40</f>
        <v>0</v>
      </c>
      <c r="F17" s="104" t="s">
        <v>380</v>
      </c>
      <c r="G17" s="535">
        <f>'Conversion factor'!$E$16*'Conversion factor'!$I$17*EF_Stationary!$C$139*90%</f>
        <v>2.4288498000000001</v>
      </c>
      <c r="H17" s="536">
        <f>'Conversion factor'!$E$16*'Conversion factor'!$I$17*EF_Stationary!$F$139</f>
        <v>3.6420000000000002E-4</v>
      </c>
      <c r="I17" s="536">
        <f>'Conversion factor'!$E$16*'Conversion factor'!$I$17*EF_Stationary!$I$139</f>
        <v>2.1852E-5</v>
      </c>
      <c r="J17" s="535">
        <f>G17*$J$5</f>
        <v>2.4288498000000001</v>
      </c>
      <c r="K17" s="536">
        <f t="shared" si="4"/>
        <v>1.0926E-2</v>
      </c>
      <c r="L17" s="536">
        <f t="shared" si="2"/>
        <v>5.7907799999999997E-3</v>
      </c>
      <c r="M17" s="537">
        <f>SUM(J17:L17)</f>
        <v>2.4455665799999999</v>
      </c>
      <c r="N17" s="538">
        <f t="shared" si="5"/>
        <v>0</v>
      </c>
      <c r="O17" s="538">
        <f t="shared" si="6"/>
        <v>0</v>
      </c>
      <c r="P17" s="538">
        <f t="shared" si="7"/>
        <v>0</v>
      </c>
      <c r="Q17" s="540">
        <f t="shared" si="8"/>
        <v>0</v>
      </c>
    </row>
    <row r="18" spans="1:17">
      <c r="A18" s="2115"/>
      <c r="B18" s="2116"/>
      <c r="C18" s="99" t="s">
        <v>383</v>
      </c>
      <c r="D18" s="1677"/>
      <c r="E18" s="1251">
        <f>'Energy_Input DATA'!J40</f>
        <v>0</v>
      </c>
      <c r="F18" s="104" t="s">
        <v>380</v>
      </c>
      <c r="G18" s="535">
        <f>'Conversion factor'!$E$16*'Conversion factor'!$I$17*EF_Stationary!$C$139*80%</f>
        <v>2.1589776000000001</v>
      </c>
      <c r="H18" s="536">
        <f>'Conversion factor'!$E$16*'Conversion factor'!$I$17*EF_Stationary!$F$139</f>
        <v>3.6420000000000002E-4</v>
      </c>
      <c r="I18" s="536">
        <f>'Conversion factor'!$E$16*'Conversion factor'!$I$17*EF_Stationary!$I$139</f>
        <v>2.1852E-5</v>
      </c>
      <c r="J18" s="535">
        <f>G18*$J$5</f>
        <v>2.1589776000000001</v>
      </c>
      <c r="K18" s="536">
        <f t="shared" si="4"/>
        <v>1.0926E-2</v>
      </c>
      <c r="L18" s="536">
        <f t="shared" si="2"/>
        <v>5.7907799999999997E-3</v>
      </c>
      <c r="M18" s="537">
        <f>SUM(J18:L18)</f>
        <v>2.1756943799999999</v>
      </c>
      <c r="N18" s="538">
        <f t="shared" si="5"/>
        <v>0</v>
      </c>
      <c r="O18" s="538">
        <f t="shared" si="6"/>
        <v>0</v>
      </c>
      <c r="P18" s="538">
        <f t="shared" si="7"/>
        <v>0</v>
      </c>
      <c r="Q18" s="540">
        <f t="shared" si="8"/>
        <v>0</v>
      </c>
    </row>
    <row r="19" spans="1:17">
      <c r="A19" s="2115"/>
      <c r="B19" s="2116"/>
      <c r="C19" s="180" t="s">
        <v>419</v>
      </c>
      <c r="D19" s="1677"/>
      <c r="E19" s="1251">
        <f>'Energy_Input DATA'!G40</f>
        <v>0</v>
      </c>
      <c r="F19" s="103" t="s">
        <v>380</v>
      </c>
      <c r="G19" s="535">
        <f>('Conversion factor'!$E$13*'Conversion factor'!$I$17)*EF_Stationary!$C$192</f>
        <v>2.1815639999999998</v>
      </c>
      <c r="H19" s="536">
        <f>('Conversion factor'!$E$13*'Conversion factor'!$I$17)*EF_Stationary!$F$192</f>
        <v>3.1479999999999995E-4</v>
      </c>
      <c r="I19" s="536">
        <f>('Conversion factor'!$E$13*'Conversion factor'!$I$17)*EF_Stationary!$I$192</f>
        <v>1.8887999999999996E-5</v>
      </c>
      <c r="J19" s="535">
        <f>G19*$J$5</f>
        <v>2.1815639999999998</v>
      </c>
      <c r="K19" s="536">
        <f>H19*$L$5</f>
        <v>9.4439999999999993E-3</v>
      </c>
      <c r="L19" s="536">
        <f t="shared" si="2"/>
        <v>5.0053199999999989E-3</v>
      </c>
      <c r="M19" s="537">
        <f>SUM(J19:L19)</f>
        <v>2.1960133199999996</v>
      </c>
      <c r="N19" s="538">
        <f t="shared" si="5"/>
        <v>0</v>
      </c>
      <c r="O19" s="538">
        <f t="shared" si="6"/>
        <v>0</v>
      </c>
      <c r="P19" s="538">
        <f t="shared" si="7"/>
        <v>0</v>
      </c>
      <c r="Q19" s="540">
        <f t="shared" si="8"/>
        <v>0</v>
      </c>
    </row>
    <row r="20" spans="1:17">
      <c r="A20" s="2115"/>
      <c r="B20" s="2116"/>
      <c r="C20" s="99" t="s">
        <v>385</v>
      </c>
      <c r="D20" s="1677"/>
      <c r="E20" s="1251">
        <f>'Energy_Input DATA'!K40</f>
        <v>0</v>
      </c>
      <c r="F20" s="104" t="s">
        <v>380</v>
      </c>
      <c r="G20" s="535">
        <f>('Conversion factor'!$E$13*'Conversion factor'!$I$17)*EF_Stationary!$C$192*90%</f>
        <v>1.9634075999999998</v>
      </c>
      <c r="H20" s="536">
        <f>('Conversion factor'!$E$13*'Conversion factor'!$I$17)*EF_Stationary!$F$192</f>
        <v>3.1479999999999995E-4</v>
      </c>
      <c r="I20" s="536">
        <f>('Conversion factor'!$E$13*'Conversion factor'!$I$17)*EF_Stationary!$I$192</f>
        <v>1.8887999999999996E-5</v>
      </c>
      <c r="J20" s="535">
        <f>G20*$J$5</f>
        <v>1.9634075999999998</v>
      </c>
      <c r="K20" s="536">
        <f>H20*$L$5</f>
        <v>9.4439999999999993E-3</v>
      </c>
      <c r="L20" s="535">
        <f t="shared" si="2"/>
        <v>5.0053199999999989E-3</v>
      </c>
      <c r="M20" s="107">
        <f>SUM(J20:L20)</f>
        <v>1.9778569199999998</v>
      </c>
      <c r="N20" s="538">
        <f t="shared" si="5"/>
        <v>0</v>
      </c>
      <c r="O20" s="538">
        <f t="shared" si="6"/>
        <v>0</v>
      </c>
      <c r="P20" s="538">
        <f t="shared" si="7"/>
        <v>0</v>
      </c>
      <c r="Q20" s="540">
        <f t="shared" si="8"/>
        <v>0</v>
      </c>
    </row>
    <row r="21" spans="1:17">
      <c r="A21" s="2115"/>
      <c r="B21" s="2116"/>
      <c r="C21" s="180" t="s">
        <v>450</v>
      </c>
      <c r="D21" s="1677"/>
      <c r="E21" s="1251">
        <f>'Energy_Input DATA'!H40</f>
        <v>0</v>
      </c>
      <c r="F21" s="103" t="s">
        <v>380</v>
      </c>
      <c r="G21" s="535">
        <f>('Conversion factor'!$E$17*'Conversion factor'!$I$17)*EF_Stationary!$C$140</f>
        <v>3.078198</v>
      </c>
      <c r="H21" s="536">
        <f>('Conversion factor'!$E$17*'Conversion factor'!$I$17)*EF_Stationary!$F$140</f>
        <v>3.9770000000000002E-4</v>
      </c>
      <c r="I21" s="536">
        <f>('Conversion factor'!$E$17*'Conversion factor'!$I$17)*EF_Stationary!$I$140</f>
        <v>2.3862E-5</v>
      </c>
      <c r="J21" s="535">
        <f t="shared" si="1"/>
        <v>3.078198</v>
      </c>
      <c r="K21" s="536">
        <f t="shared" ref="K21:K27" si="9">H21*$L$5</f>
        <v>1.1931000000000001E-2</v>
      </c>
      <c r="L21" s="536">
        <f t="shared" si="2"/>
        <v>6.3234299999999997E-3</v>
      </c>
      <c r="M21" s="537">
        <f t="shared" si="3"/>
        <v>3.0964524300000003</v>
      </c>
      <c r="N21" s="538">
        <f t="shared" si="5"/>
        <v>0</v>
      </c>
      <c r="O21" s="538">
        <f t="shared" si="6"/>
        <v>0</v>
      </c>
      <c r="P21" s="538">
        <f t="shared" si="7"/>
        <v>0</v>
      </c>
      <c r="Q21" s="540">
        <f t="shared" si="8"/>
        <v>0</v>
      </c>
    </row>
    <row r="22" spans="1:17" ht="13.35" customHeight="1">
      <c r="A22" s="2115" t="s">
        <v>179</v>
      </c>
      <c r="B22" s="2118" t="s">
        <v>452</v>
      </c>
      <c r="C22" s="180" t="s">
        <v>295</v>
      </c>
      <c r="D22" s="1677"/>
      <c r="E22" s="534">
        <f>'Energy_Input DATA'!C41/'Conversion factor'!$I$14</f>
        <v>0</v>
      </c>
      <c r="F22" s="103" t="s">
        <v>380</v>
      </c>
      <c r="G22" s="535">
        <f>('Conversion factor'!$E$12*'Conversion factor'!$I$17)*EF_Stationary!$C$80</f>
        <v>1.6797219999999999</v>
      </c>
      <c r="H22" s="536">
        <f>('Conversion factor'!$E$12*'Conversion factor'!$I$17)*EF_Stationary!$F$80</f>
        <v>2.6619999999999999E-5</v>
      </c>
      <c r="I22" s="536">
        <f>('Conversion factor'!$E$12*'Conversion factor'!$I$17)*EF_Stationary!$I$80</f>
        <v>2.6620000000000001E-6</v>
      </c>
      <c r="J22" s="535">
        <f t="shared" si="1"/>
        <v>1.6797219999999999</v>
      </c>
      <c r="K22" s="536">
        <f t="shared" si="9"/>
        <v>7.986E-4</v>
      </c>
      <c r="L22" s="536">
        <f t="shared" si="2"/>
        <v>7.0543000000000005E-4</v>
      </c>
      <c r="M22" s="537">
        <f t="shared" si="3"/>
        <v>1.6812260299999999</v>
      </c>
      <c r="N22" s="538">
        <f t="shared" si="5"/>
        <v>0</v>
      </c>
      <c r="O22" s="538">
        <f t="shared" si="6"/>
        <v>0</v>
      </c>
      <c r="P22" s="538">
        <f t="shared" si="7"/>
        <v>0</v>
      </c>
      <c r="Q22" s="540">
        <f t="shared" si="8"/>
        <v>0</v>
      </c>
    </row>
    <row r="23" spans="1:17" ht="13.35" customHeight="1">
      <c r="A23" s="2115"/>
      <c r="B23" s="2118"/>
      <c r="C23" s="180" t="s">
        <v>453</v>
      </c>
      <c r="D23" s="1677"/>
      <c r="E23" s="534">
        <f>'Energy_Input DATA'!N41</f>
        <v>0</v>
      </c>
      <c r="F23" s="103" t="s">
        <v>356</v>
      </c>
      <c r="G23" s="535">
        <f>('Conversion factor'!$E$10*'Conversion factor'!$I$17)*EF_Stationary!$C$106</f>
        <v>5.7222000000000002E-2</v>
      </c>
      <c r="H23" s="536">
        <f>('Conversion factor'!$E$10*'Conversion factor'!$I$17)*EF_Stationary!$F$106</f>
        <v>1.02E-6</v>
      </c>
      <c r="I23" s="536">
        <f>('Conversion factor'!$E$10*'Conversion factor'!$I$17)*EF_Stationary!$I$106</f>
        <v>1.02E-7</v>
      </c>
      <c r="J23" s="535">
        <f>G23*$J$5</f>
        <v>5.7222000000000002E-2</v>
      </c>
      <c r="K23" s="536">
        <f>H23*$L$5</f>
        <v>3.0599999999999998E-5</v>
      </c>
      <c r="L23" s="536">
        <f t="shared" si="2"/>
        <v>2.703E-5</v>
      </c>
      <c r="M23" s="537">
        <f>SUM(J23:L23)</f>
        <v>5.7279629999999998E-2</v>
      </c>
      <c r="N23" s="538">
        <f t="shared" si="5"/>
        <v>0</v>
      </c>
      <c r="O23" s="538">
        <f t="shared" si="6"/>
        <v>0</v>
      </c>
      <c r="P23" s="538">
        <f t="shared" si="7"/>
        <v>0</v>
      </c>
      <c r="Q23" s="540">
        <f t="shared" si="8"/>
        <v>0</v>
      </c>
    </row>
    <row r="24" spans="1:17">
      <c r="A24" s="2115"/>
      <c r="B24" s="2118"/>
      <c r="C24" s="180" t="s">
        <v>420</v>
      </c>
      <c r="D24" s="1677"/>
      <c r="E24" s="534">
        <f>'Energy_Input DATA'!D41</f>
        <v>0</v>
      </c>
      <c r="F24" s="103" t="s">
        <v>380</v>
      </c>
      <c r="G24" s="535">
        <f>('Conversion factor'!$E$16*'Conversion factor'!$I$17)*EF_Stationary!$C$78</f>
        <v>2.6987220000000001</v>
      </c>
      <c r="H24" s="536">
        <f>('Conversion factor'!$E$16*'Conversion factor'!$I$17)*EF_Stationary!$F$78</f>
        <v>1.0925999999999999E-4</v>
      </c>
      <c r="I24" s="536">
        <f>('Conversion factor'!$E$16*'Conversion factor'!$I$17)*EF_Stationary!$I$78</f>
        <v>2.1852E-5</v>
      </c>
      <c r="J24" s="535">
        <f t="shared" si="1"/>
        <v>2.6987220000000001</v>
      </c>
      <c r="K24" s="536">
        <f>H24*$L$5</f>
        <v>3.2778E-3</v>
      </c>
      <c r="L24" s="536">
        <f t="shared" si="2"/>
        <v>5.7907799999999997E-3</v>
      </c>
      <c r="M24" s="537">
        <f t="shared" si="3"/>
        <v>2.7077905800000002</v>
      </c>
      <c r="N24" s="538">
        <f t="shared" si="5"/>
        <v>0</v>
      </c>
      <c r="O24" s="538">
        <f t="shared" si="6"/>
        <v>0</v>
      </c>
      <c r="P24" s="538">
        <f t="shared" si="7"/>
        <v>0</v>
      </c>
      <c r="Q24" s="540">
        <f t="shared" si="8"/>
        <v>0</v>
      </c>
    </row>
    <row r="25" spans="1:17">
      <c r="A25" s="2115"/>
      <c r="B25" s="2118"/>
      <c r="C25" s="180" t="s">
        <v>303</v>
      </c>
      <c r="D25" s="1677"/>
      <c r="E25" s="534">
        <f>'Energy_Input DATA'!E41+'Energy_Input DATA'!F41</f>
        <v>0</v>
      </c>
      <c r="F25" s="103" t="s">
        <v>380</v>
      </c>
      <c r="G25" s="535">
        <f>'Conversion factor'!$E$16*'Conversion factor'!$I$17*EF_Stationary!$C$139</f>
        <v>2.6987220000000001</v>
      </c>
      <c r="H25" s="536">
        <f>'Conversion factor'!$E$16*'Conversion factor'!$I$17*EF_Stationary!$F$139</f>
        <v>3.6420000000000002E-4</v>
      </c>
      <c r="I25" s="536">
        <f>'Conversion factor'!$E$16*'Conversion factor'!$I$17*EF_Stationary!$I$139</f>
        <v>2.1852E-5</v>
      </c>
      <c r="J25" s="535">
        <f t="shared" ref="J25:J31" si="10">G25*$J$5</f>
        <v>2.6987220000000001</v>
      </c>
      <c r="K25" s="536">
        <f t="shared" si="9"/>
        <v>1.0926E-2</v>
      </c>
      <c r="L25" s="536">
        <f t="shared" si="2"/>
        <v>5.7907799999999997E-3</v>
      </c>
      <c r="M25" s="537">
        <f t="shared" ref="M25:M31" si="11">SUM(J25:L25)</f>
        <v>2.7154387799999999</v>
      </c>
      <c r="N25" s="538">
        <f t="shared" si="5"/>
        <v>0</v>
      </c>
      <c r="O25" s="538">
        <f t="shared" si="6"/>
        <v>0</v>
      </c>
      <c r="P25" s="538">
        <f t="shared" si="7"/>
        <v>0</v>
      </c>
      <c r="Q25" s="540">
        <f t="shared" si="8"/>
        <v>0</v>
      </c>
    </row>
    <row r="26" spans="1:17">
      <c r="A26" s="2115"/>
      <c r="B26" s="2118"/>
      <c r="C26" s="99" t="s">
        <v>382</v>
      </c>
      <c r="D26" s="1677"/>
      <c r="E26" s="534">
        <f>'Energy_Input DATA'!I41</f>
        <v>0</v>
      </c>
      <c r="F26" s="104" t="s">
        <v>380</v>
      </c>
      <c r="G26" s="535">
        <f>'Conversion factor'!$E$16*'Conversion factor'!$I$17*EF_Stationary!$C$139*90%</f>
        <v>2.4288498000000001</v>
      </c>
      <c r="H26" s="536">
        <f>'Conversion factor'!$E$16*'Conversion factor'!$I$17*EF_Stationary!$F$139</f>
        <v>3.6420000000000002E-4</v>
      </c>
      <c r="I26" s="536">
        <f>'Conversion factor'!$E$16*'Conversion factor'!$I$17*EF_Stationary!$I$139</f>
        <v>2.1852E-5</v>
      </c>
      <c r="J26" s="535">
        <f t="shared" si="10"/>
        <v>2.4288498000000001</v>
      </c>
      <c r="K26" s="536">
        <f>H26*$L$5</f>
        <v>1.0926E-2</v>
      </c>
      <c r="L26" s="536">
        <f t="shared" si="2"/>
        <v>5.7907799999999997E-3</v>
      </c>
      <c r="M26" s="537">
        <f t="shared" si="11"/>
        <v>2.4455665799999999</v>
      </c>
      <c r="N26" s="538">
        <f t="shared" si="5"/>
        <v>0</v>
      </c>
      <c r="O26" s="538">
        <f t="shared" si="6"/>
        <v>0</v>
      </c>
      <c r="P26" s="538">
        <f t="shared" si="7"/>
        <v>0</v>
      </c>
      <c r="Q26" s="540">
        <f t="shared" si="8"/>
        <v>0</v>
      </c>
    </row>
    <row r="27" spans="1:17">
      <c r="A27" s="2115"/>
      <c r="B27" s="2118"/>
      <c r="C27" s="99" t="s">
        <v>383</v>
      </c>
      <c r="D27" s="1677"/>
      <c r="E27" s="534">
        <f>'Energy_Input DATA'!J41</f>
        <v>0</v>
      </c>
      <c r="F27" s="104" t="s">
        <v>380</v>
      </c>
      <c r="G27" s="535">
        <f>'Conversion factor'!$E$16*'Conversion factor'!$I$17*EF_Stationary!$C$139*80%</f>
        <v>2.1589776000000001</v>
      </c>
      <c r="H27" s="536">
        <f>'Conversion factor'!$E$16*'Conversion factor'!$I$17*EF_Stationary!$F$139</f>
        <v>3.6420000000000002E-4</v>
      </c>
      <c r="I27" s="536">
        <f>'Conversion factor'!$E$16*'Conversion factor'!$I$17*EF_Stationary!$I$139</f>
        <v>2.1852E-5</v>
      </c>
      <c r="J27" s="535">
        <f t="shared" si="10"/>
        <v>2.1589776000000001</v>
      </c>
      <c r="K27" s="536">
        <f t="shared" si="9"/>
        <v>1.0926E-2</v>
      </c>
      <c r="L27" s="536">
        <f t="shared" si="2"/>
        <v>5.7907799999999997E-3</v>
      </c>
      <c r="M27" s="537">
        <f t="shared" si="11"/>
        <v>2.1756943799999999</v>
      </c>
      <c r="N27" s="538">
        <f t="shared" si="5"/>
        <v>0</v>
      </c>
      <c r="O27" s="538">
        <f t="shared" si="6"/>
        <v>0</v>
      </c>
      <c r="P27" s="538">
        <f t="shared" si="7"/>
        <v>0</v>
      </c>
      <c r="Q27" s="540">
        <f t="shared" si="8"/>
        <v>0</v>
      </c>
    </row>
    <row r="28" spans="1:17">
      <c r="A28" s="2115"/>
      <c r="B28" s="2118"/>
      <c r="C28" s="180" t="s">
        <v>419</v>
      </c>
      <c r="D28" s="1677"/>
      <c r="E28" s="534">
        <f>'Energy_Input DATA'!G41</f>
        <v>0</v>
      </c>
      <c r="F28" s="103" t="s">
        <v>380</v>
      </c>
      <c r="G28" s="535">
        <f>('Conversion factor'!$E$13*'Conversion factor'!$I$17)*EF_Stationary!$C$192</f>
        <v>2.1815639999999998</v>
      </c>
      <c r="H28" s="536">
        <f>('Conversion factor'!$E$13*'Conversion factor'!$I$17)*EF_Stationary!$F$192</f>
        <v>3.1479999999999995E-4</v>
      </c>
      <c r="I28" s="536">
        <f>('Conversion factor'!$E$13*'Conversion factor'!$I$17)*EF_Stationary!$I$192</f>
        <v>1.8887999999999996E-5</v>
      </c>
      <c r="J28" s="535">
        <f t="shared" si="10"/>
        <v>2.1815639999999998</v>
      </c>
      <c r="K28" s="536">
        <f>H28*$L$5</f>
        <v>9.4439999999999993E-3</v>
      </c>
      <c r="L28" s="536">
        <f t="shared" si="2"/>
        <v>5.0053199999999989E-3</v>
      </c>
      <c r="M28" s="537">
        <f t="shared" si="11"/>
        <v>2.1960133199999996</v>
      </c>
      <c r="N28" s="538">
        <f t="shared" si="5"/>
        <v>0</v>
      </c>
      <c r="O28" s="538">
        <f t="shared" si="6"/>
        <v>0</v>
      </c>
      <c r="P28" s="538">
        <f t="shared" si="7"/>
        <v>0</v>
      </c>
      <c r="Q28" s="540">
        <f t="shared" si="8"/>
        <v>0</v>
      </c>
    </row>
    <row r="29" spans="1:17">
      <c r="A29" s="2115"/>
      <c r="B29" s="2118"/>
      <c r="C29" s="99" t="s">
        <v>386</v>
      </c>
      <c r="D29" s="1677"/>
      <c r="E29" s="534">
        <f>'Energy_Input DATA'!L41</f>
        <v>0</v>
      </c>
      <c r="F29" s="104" t="s">
        <v>380</v>
      </c>
      <c r="G29" s="535">
        <f>('Conversion factor'!$E$13*'Conversion factor'!$I$17)*EF_Stationary!$C$192*15%</f>
        <v>0.32723459999999999</v>
      </c>
      <c r="H29" s="536">
        <f>('Conversion factor'!$E$13*'Conversion factor'!$I$17)*EF_Stationary!$F$192</f>
        <v>3.1479999999999995E-4</v>
      </c>
      <c r="I29" s="536">
        <f>('Conversion factor'!$E$13*'Conversion factor'!$I$17)*EF_Stationary!$I$192</f>
        <v>1.8887999999999996E-5</v>
      </c>
      <c r="J29" s="535">
        <f t="shared" si="10"/>
        <v>0.32723459999999999</v>
      </c>
      <c r="K29" s="536">
        <f>H29*$L$5</f>
        <v>9.4439999999999993E-3</v>
      </c>
      <c r="L29" s="535">
        <f t="shared" si="2"/>
        <v>5.0053199999999989E-3</v>
      </c>
      <c r="M29" s="107">
        <f t="shared" si="11"/>
        <v>0.34168391999999997</v>
      </c>
      <c r="N29" s="538">
        <f t="shared" si="5"/>
        <v>0</v>
      </c>
      <c r="O29" s="538">
        <f t="shared" si="6"/>
        <v>0</v>
      </c>
      <c r="P29" s="538">
        <f t="shared" si="7"/>
        <v>0</v>
      </c>
      <c r="Q29" s="540">
        <f t="shared" si="8"/>
        <v>0</v>
      </c>
    </row>
    <row r="30" spans="1:17">
      <c r="A30" s="2115"/>
      <c r="B30" s="2118"/>
      <c r="C30" s="99" t="s">
        <v>387</v>
      </c>
      <c r="D30" s="1677"/>
      <c r="E30" s="534">
        <f>'Energy_Input DATA'!M41</f>
        <v>0</v>
      </c>
      <c r="F30" s="104" t="s">
        <v>380</v>
      </c>
      <c r="G30" s="535">
        <f>('Conversion factor'!$E$13*'Conversion factor'!$I$17)*EF_Stationary!$C$192*80%</f>
        <v>1.7452512</v>
      </c>
      <c r="H30" s="536">
        <f>('Conversion factor'!$E$13*'Conversion factor'!$I$17)*EF_Stationary!$F$192</f>
        <v>3.1479999999999995E-4</v>
      </c>
      <c r="I30" s="536">
        <f>('Conversion factor'!$E$13*'Conversion factor'!$I$17)*EF_Stationary!$I$192</f>
        <v>1.8887999999999996E-5</v>
      </c>
      <c r="J30" s="535">
        <f t="shared" si="10"/>
        <v>1.7452512</v>
      </c>
      <c r="K30" s="536">
        <f>H30*$L$5</f>
        <v>9.4439999999999993E-3</v>
      </c>
      <c r="L30" s="535">
        <f t="shared" si="2"/>
        <v>5.0053199999999989E-3</v>
      </c>
      <c r="M30" s="107">
        <f t="shared" si="11"/>
        <v>1.75970052</v>
      </c>
      <c r="N30" s="538">
        <f t="shared" si="5"/>
        <v>0</v>
      </c>
      <c r="O30" s="538">
        <f t="shared" si="6"/>
        <v>0</v>
      </c>
      <c r="P30" s="538">
        <f t="shared" si="7"/>
        <v>0</v>
      </c>
      <c r="Q30" s="540">
        <f t="shared" si="8"/>
        <v>0</v>
      </c>
    </row>
    <row r="31" spans="1:17">
      <c r="A31" s="2115"/>
      <c r="B31" s="2118"/>
      <c r="C31" s="99" t="s">
        <v>385</v>
      </c>
      <c r="D31" s="1677"/>
      <c r="E31" s="534">
        <f>'Energy_Input DATA'!K41</f>
        <v>0</v>
      </c>
      <c r="F31" s="104" t="s">
        <v>380</v>
      </c>
      <c r="G31" s="535">
        <f>('Conversion factor'!$E$13*'Conversion factor'!$I$17)*EF_Stationary!$C$192*90%</f>
        <v>1.9634075999999998</v>
      </c>
      <c r="H31" s="536">
        <f>('Conversion factor'!$E$13*'Conversion factor'!$I$17)*EF_Stationary!$F$192</f>
        <v>3.1479999999999995E-4</v>
      </c>
      <c r="I31" s="536">
        <f>('Conversion factor'!$E$13*'Conversion factor'!$I$17)*EF_Stationary!$I$192</f>
        <v>1.8887999999999996E-5</v>
      </c>
      <c r="J31" s="535">
        <f t="shared" si="10"/>
        <v>1.9634075999999998</v>
      </c>
      <c r="K31" s="536">
        <f t="shared" ref="K31:K37" si="12">H31*$L$5</f>
        <v>9.4439999999999993E-3</v>
      </c>
      <c r="L31" s="535">
        <f t="shared" si="2"/>
        <v>5.0053199999999989E-3</v>
      </c>
      <c r="M31" s="107">
        <f t="shared" si="11"/>
        <v>1.9778569199999998</v>
      </c>
      <c r="N31" s="538">
        <f t="shared" si="5"/>
        <v>0</v>
      </c>
      <c r="O31" s="538">
        <f t="shared" si="6"/>
        <v>0</v>
      </c>
      <c r="P31" s="538">
        <f t="shared" si="7"/>
        <v>0</v>
      </c>
      <c r="Q31" s="540">
        <f t="shared" si="8"/>
        <v>0</v>
      </c>
    </row>
    <row r="32" spans="1:17">
      <c r="A32" s="2115"/>
      <c r="B32" s="2118"/>
      <c r="C32" s="180" t="s">
        <v>450</v>
      </c>
      <c r="D32" s="1677"/>
      <c r="E32" s="534">
        <f>'Energy_Input DATA'!H41</f>
        <v>0</v>
      </c>
      <c r="F32" s="103" t="s">
        <v>380</v>
      </c>
      <c r="G32" s="535">
        <f>('Conversion factor'!$E$17*'Conversion factor'!$I$17)*EF_Stationary!$C$79</f>
        <v>3.078198</v>
      </c>
      <c r="H32" s="536">
        <f>('Conversion factor'!$E$17*'Conversion factor'!$I$17)*EF_Stationary!$F$79</f>
        <v>1.1930999999999999E-4</v>
      </c>
      <c r="I32" s="536">
        <f>('Conversion factor'!$E$17*'Conversion factor'!$I$17)*EF_Stationary!$I$79</f>
        <v>2.3862E-5</v>
      </c>
      <c r="J32" s="535">
        <f t="shared" si="1"/>
        <v>3.078198</v>
      </c>
      <c r="K32" s="536">
        <f t="shared" si="12"/>
        <v>3.5792999999999997E-3</v>
      </c>
      <c r="L32" s="536">
        <f t="shared" si="2"/>
        <v>6.3234299999999997E-3</v>
      </c>
      <c r="M32" s="537">
        <f t="shared" si="3"/>
        <v>3.0881007300000003</v>
      </c>
      <c r="N32" s="538">
        <f t="shared" si="5"/>
        <v>0</v>
      </c>
      <c r="O32" s="538">
        <f t="shared" si="6"/>
        <v>0</v>
      </c>
      <c r="P32" s="538">
        <f t="shared" si="7"/>
        <v>0</v>
      </c>
      <c r="Q32" s="540">
        <f t="shared" si="8"/>
        <v>0</v>
      </c>
    </row>
    <row r="33" spans="1:17">
      <c r="A33" s="2115" t="s">
        <v>180</v>
      </c>
      <c r="B33" s="2116" t="s">
        <v>454</v>
      </c>
      <c r="C33" s="180" t="s">
        <v>295</v>
      </c>
      <c r="D33" s="1677"/>
      <c r="E33" s="534">
        <f>'Energy_Input DATA'!C42/'Conversion factor'!$I$14</f>
        <v>0</v>
      </c>
      <c r="F33" s="103" t="s">
        <v>380</v>
      </c>
      <c r="G33" s="535">
        <f>('Conversion factor'!$E$12*'Conversion factor'!$I$17)*EF_Stationary!$C$19</f>
        <v>1.6797219999999999</v>
      </c>
      <c r="H33" s="536">
        <f>('Conversion factor'!$E$12*'Conversion factor'!$I$17)*EF_Stationary!$F$19</f>
        <v>2.6619999999999999E-5</v>
      </c>
      <c r="I33" s="536">
        <f>('Conversion factor'!$E$12*'Conversion factor'!$I$17)*EF_Stationary!$I$19</f>
        <v>2.6620000000000001E-6</v>
      </c>
      <c r="J33" s="535">
        <f t="shared" si="1"/>
        <v>1.6797219999999999</v>
      </c>
      <c r="K33" s="536">
        <f t="shared" si="12"/>
        <v>7.986E-4</v>
      </c>
      <c r="L33" s="536">
        <f t="shared" si="2"/>
        <v>7.0543000000000005E-4</v>
      </c>
      <c r="M33" s="537">
        <f t="shared" si="3"/>
        <v>1.6812260299999999</v>
      </c>
      <c r="N33" s="538">
        <f t="shared" si="5"/>
        <v>0</v>
      </c>
      <c r="O33" s="538">
        <f t="shared" si="6"/>
        <v>0</v>
      </c>
      <c r="P33" s="538">
        <f t="shared" si="7"/>
        <v>0</v>
      </c>
      <c r="Q33" s="540">
        <f t="shared" si="8"/>
        <v>0</v>
      </c>
    </row>
    <row r="34" spans="1:17">
      <c r="A34" s="2115"/>
      <c r="B34" s="2116"/>
      <c r="C34" s="180" t="s">
        <v>453</v>
      </c>
      <c r="D34" s="1677"/>
      <c r="E34" s="534">
        <f>'Energy_Input DATA'!N42</f>
        <v>0</v>
      </c>
      <c r="F34" s="103" t="s">
        <v>356</v>
      </c>
      <c r="G34" s="535">
        <f>('Conversion factor'!$E$10*'Conversion factor'!$I$17)*EF_Stationary!$C$45</f>
        <v>5.7222000000000002E-2</v>
      </c>
      <c r="H34" s="536">
        <f>('Conversion factor'!$E$10*'Conversion factor'!$I$17)*EF_Stationary!$F$45</f>
        <v>1.02E-6</v>
      </c>
      <c r="I34" s="536">
        <f>('Conversion factor'!$E$10*'Conversion factor'!$I$17)*EF_Stationary!$I$45</f>
        <v>1.02E-7</v>
      </c>
      <c r="J34" s="535">
        <f t="shared" si="1"/>
        <v>5.7222000000000002E-2</v>
      </c>
      <c r="K34" s="536">
        <f t="shared" si="12"/>
        <v>3.0599999999999998E-5</v>
      </c>
      <c r="L34" s="536">
        <f t="shared" si="2"/>
        <v>2.703E-5</v>
      </c>
      <c r="M34" s="537">
        <f t="shared" si="3"/>
        <v>5.7279629999999998E-2</v>
      </c>
      <c r="N34" s="538">
        <f t="shared" si="5"/>
        <v>0</v>
      </c>
      <c r="O34" s="538">
        <f t="shared" si="6"/>
        <v>0</v>
      </c>
      <c r="P34" s="538">
        <f t="shared" si="7"/>
        <v>0</v>
      </c>
      <c r="Q34" s="540">
        <f t="shared" si="8"/>
        <v>0</v>
      </c>
    </row>
    <row r="35" spans="1:17">
      <c r="A35" s="2115"/>
      <c r="B35" s="2116"/>
      <c r="C35" s="180" t="s">
        <v>420</v>
      </c>
      <c r="D35" s="1677"/>
      <c r="E35" s="534">
        <f>'Energy_Input DATA'!D42</f>
        <v>0</v>
      </c>
      <c r="F35" s="103" t="s">
        <v>380</v>
      </c>
      <c r="G35" s="535">
        <f>('Conversion factor'!$E$16*'Conversion factor'!$I$17)*EF_Stationary!$C$17</f>
        <v>2.6987220000000001</v>
      </c>
      <c r="H35" s="536">
        <f>('Conversion factor'!$E$16*'Conversion factor'!$I$17)*EF_Stationary!$F$17</f>
        <v>1.0925999999999999E-4</v>
      </c>
      <c r="I35" s="536">
        <f>('Conversion factor'!$E$16*'Conversion factor'!$I$17)*EF_Stationary!$I$17</f>
        <v>2.1852E-5</v>
      </c>
      <c r="J35" s="535">
        <f t="shared" si="1"/>
        <v>2.6987220000000001</v>
      </c>
      <c r="K35" s="536">
        <f t="shared" si="12"/>
        <v>3.2778E-3</v>
      </c>
      <c r="L35" s="536">
        <f t="shared" si="2"/>
        <v>5.7907799999999997E-3</v>
      </c>
      <c r="M35" s="537">
        <f t="shared" si="3"/>
        <v>2.7077905800000002</v>
      </c>
      <c r="N35" s="538">
        <f t="shared" si="5"/>
        <v>0</v>
      </c>
      <c r="O35" s="538">
        <f t="shared" si="6"/>
        <v>0</v>
      </c>
      <c r="P35" s="538">
        <f t="shared" si="7"/>
        <v>0</v>
      </c>
      <c r="Q35" s="540">
        <f t="shared" si="8"/>
        <v>0</v>
      </c>
    </row>
    <row r="36" spans="1:17">
      <c r="A36" s="2115"/>
      <c r="B36" s="2116"/>
      <c r="C36" s="180" t="s">
        <v>303</v>
      </c>
      <c r="D36" s="1677"/>
      <c r="E36" s="534">
        <f>'Energy_Input DATA'!E42+'Energy_Input DATA'!F42</f>
        <v>0</v>
      </c>
      <c r="F36" s="103" t="s">
        <v>380</v>
      </c>
      <c r="G36" s="535">
        <f>'Conversion factor'!$E$16*'Conversion factor'!$I$17*EF_Stationary!$C$139</f>
        <v>2.6987220000000001</v>
      </c>
      <c r="H36" s="536">
        <f>'Conversion factor'!$E$16*'Conversion factor'!$I$17*EF_Stationary!$F$139</f>
        <v>3.6420000000000002E-4</v>
      </c>
      <c r="I36" s="536">
        <f>'Conversion factor'!$E$16*'Conversion factor'!$I$17*EF_Stationary!$I$139</f>
        <v>2.1852E-5</v>
      </c>
      <c r="J36" s="535">
        <f>G36*$J$5</f>
        <v>2.6987220000000001</v>
      </c>
      <c r="K36" s="536">
        <f t="shared" si="12"/>
        <v>1.0926E-2</v>
      </c>
      <c r="L36" s="536">
        <f t="shared" si="2"/>
        <v>5.7907799999999997E-3</v>
      </c>
      <c r="M36" s="537">
        <f>SUM(J36:L36)</f>
        <v>2.7154387799999999</v>
      </c>
      <c r="N36" s="538">
        <f t="shared" si="5"/>
        <v>0</v>
      </c>
      <c r="O36" s="538">
        <f t="shared" si="6"/>
        <v>0</v>
      </c>
      <c r="P36" s="538">
        <f t="shared" si="7"/>
        <v>0</v>
      </c>
      <c r="Q36" s="540">
        <f t="shared" si="8"/>
        <v>0</v>
      </c>
    </row>
    <row r="37" spans="1:17">
      <c r="A37" s="2115"/>
      <c r="B37" s="2116"/>
      <c r="C37" s="99" t="s">
        <v>385</v>
      </c>
      <c r="D37" s="1677"/>
      <c r="E37" s="534">
        <f>'Energy_Input DATA'!K42</f>
        <v>0</v>
      </c>
      <c r="F37" s="104" t="s">
        <v>380</v>
      </c>
      <c r="G37" s="535">
        <f>('Conversion factor'!$E$13*'Conversion factor'!$I$17)*EF_Stationary!$C$192*90%</f>
        <v>1.9634075999999998</v>
      </c>
      <c r="H37" s="536">
        <f>('Conversion factor'!$E$13*'Conversion factor'!$I$17)*EF_Stationary!$F$192</f>
        <v>3.1479999999999995E-4</v>
      </c>
      <c r="I37" s="536">
        <f>('Conversion factor'!$E$13*'Conversion factor'!$I$17)*EF_Stationary!$I$192</f>
        <v>1.8887999999999996E-5</v>
      </c>
      <c r="J37" s="535">
        <f>G37*$J$5</f>
        <v>1.9634075999999998</v>
      </c>
      <c r="K37" s="536">
        <f t="shared" si="12"/>
        <v>9.4439999999999993E-3</v>
      </c>
      <c r="L37" s="535">
        <f t="shared" si="2"/>
        <v>5.0053199999999989E-3</v>
      </c>
      <c r="M37" s="107">
        <f>SUM(J37:L37)</f>
        <v>1.9778569199999998</v>
      </c>
      <c r="N37" s="538">
        <f t="shared" si="5"/>
        <v>0</v>
      </c>
      <c r="O37" s="538">
        <f t="shared" si="6"/>
        <v>0</v>
      </c>
      <c r="P37" s="538">
        <f t="shared" si="7"/>
        <v>0</v>
      </c>
      <c r="Q37" s="540">
        <f t="shared" si="8"/>
        <v>0</v>
      </c>
    </row>
    <row r="38" spans="1:17">
      <c r="A38" s="2115"/>
      <c r="B38" s="2116"/>
      <c r="C38" s="180" t="s">
        <v>450</v>
      </c>
      <c r="D38" s="1677"/>
      <c r="E38" s="534">
        <f>'Energy_Input DATA'!H42</f>
        <v>0</v>
      </c>
      <c r="F38" s="103" t="s">
        <v>380</v>
      </c>
      <c r="G38" s="535">
        <f>('Conversion factor'!$E$17*'Conversion factor'!$I$17)*EF_Stationary!C17</f>
        <v>2.9469569999999998</v>
      </c>
      <c r="H38" s="536">
        <f>('Conversion factor'!$E$17*'Conversion factor'!$I$17)*EF_Stationary!F17</f>
        <v>1.1930999999999999E-4</v>
      </c>
      <c r="I38" s="536">
        <f>('Conversion factor'!$E$17*'Conversion factor'!$I$17)*EF_Stationary!I17</f>
        <v>2.3862E-5</v>
      </c>
      <c r="J38" s="535">
        <f>G38*$J$5</f>
        <v>2.9469569999999998</v>
      </c>
      <c r="K38" s="536">
        <f>H38*$L$5</f>
        <v>3.5792999999999997E-3</v>
      </c>
      <c r="L38" s="536">
        <f t="shared" si="2"/>
        <v>6.3234299999999997E-3</v>
      </c>
      <c r="M38" s="537">
        <f>SUM(J38:L38)</f>
        <v>2.9568597300000001</v>
      </c>
      <c r="N38" s="538">
        <f t="shared" si="5"/>
        <v>0</v>
      </c>
      <c r="O38" s="538">
        <f t="shared" si="6"/>
        <v>0</v>
      </c>
      <c r="P38" s="538">
        <f t="shared" si="7"/>
        <v>0</v>
      </c>
      <c r="Q38" s="540">
        <f t="shared" si="8"/>
        <v>0</v>
      </c>
    </row>
    <row r="39" spans="1:17">
      <c r="A39" s="2115"/>
      <c r="B39" s="2116"/>
      <c r="C39" s="180" t="s">
        <v>455</v>
      </c>
      <c r="D39" s="1677"/>
      <c r="E39" s="1251">
        <v>0</v>
      </c>
      <c r="F39" s="103" t="s">
        <v>362</v>
      </c>
      <c r="G39" s="535">
        <f>('Conversion factor'!$E$39*'Conversion factor'!$I$17)*EF_Stationary!$C$46</f>
        <v>0.445662</v>
      </c>
      <c r="H39" s="536">
        <f>('Conversion factor'!$E$39*'Conversion factor'!$I$17)*EF_Stationary!F43</f>
        <v>4.8600000000000001E-6</v>
      </c>
      <c r="I39" s="536">
        <f>('Conversion factor'!$E$39*'Conversion factor'!$I$17)*EF_Stationary!I43</f>
        <v>4.8599999999999998E-7</v>
      </c>
      <c r="J39" s="535">
        <f t="shared" si="1"/>
        <v>0.445662</v>
      </c>
      <c r="K39" s="536">
        <f>H39*$K$5</f>
        <v>1.3608000000000001E-4</v>
      </c>
      <c r="L39" s="536">
        <f t="shared" si="2"/>
        <v>1.2878999999999999E-4</v>
      </c>
      <c r="M39" s="537">
        <f t="shared" si="3"/>
        <v>0.44592686999999998</v>
      </c>
      <c r="N39" s="538">
        <f t="shared" si="5"/>
        <v>0</v>
      </c>
      <c r="O39" s="538">
        <f t="shared" si="6"/>
        <v>0</v>
      </c>
      <c r="P39" s="538">
        <f t="shared" si="7"/>
        <v>0</v>
      </c>
      <c r="Q39" s="540">
        <f t="shared" si="8"/>
        <v>0</v>
      </c>
    </row>
    <row r="40" spans="1:17" ht="15" customHeight="1">
      <c r="A40" s="2115" t="s">
        <v>182</v>
      </c>
      <c r="B40" s="2116" t="s">
        <v>456</v>
      </c>
      <c r="C40" s="180" t="s">
        <v>453</v>
      </c>
      <c r="D40" s="1677"/>
      <c r="E40" s="534">
        <f>'Energy_Input DATA'!N43</f>
        <v>0</v>
      </c>
      <c r="F40" s="103" t="s">
        <v>356</v>
      </c>
      <c r="G40" s="535">
        <f>('Conversion factor'!$E$10*'Conversion factor'!$I$17)*EF_Stationary!$C$45</f>
        <v>5.7222000000000002E-2</v>
      </c>
      <c r="H40" s="536">
        <f>('Conversion factor'!$E$10*'Conversion factor'!$I$17)*EF_Stationary!$F$45</f>
        <v>1.02E-6</v>
      </c>
      <c r="I40" s="536">
        <f>('Conversion factor'!$E$10*'Conversion factor'!$I$17)*EF_Stationary!$I$45</f>
        <v>1.02E-7</v>
      </c>
      <c r="J40" s="535">
        <f t="shared" si="1"/>
        <v>5.7222000000000002E-2</v>
      </c>
      <c r="K40" s="536">
        <f>H40*$L$5</f>
        <v>3.0599999999999998E-5</v>
      </c>
      <c r="L40" s="536">
        <f t="shared" si="2"/>
        <v>2.703E-5</v>
      </c>
      <c r="M40" s="537">
        <f t="shared" si="3"/>
        <v>5.7279629999999998E-2</v>
      </c>
      <c r="N40" s="538">
        <f t="shared" si="5"/>
        <v>0</v>
      </c>
      <c r="O40" s="538">
        <f t="shared" si="6"/>
        <v>0</v>
      </c>
      <c r="P40" s="538">
        <f t="shared" si="7"/>
        <v>0</v>
      </c>
      <c r="Q40" s="540">
        <f t="shared" si="8"/>
        <v>0</v>
      </c>
    </row>
    <row r="41" spans="1:17" ht="15" customHeight="1">
      <c r="A41" s="2115"/>
      <c r="B41" s="2116"/>
      <c r="C41" s="180" t="s">
        <v>457</v>
      </c>
      <c r="D41" s="1677"/>
      <c r="E41" s="534">
        <f>'Energy_Input DATA'!O43</f>
        <v>0</v>
      </c>
      <c r="F41" s="103" t="s">
        <v>362</v>
      </c>
      <c r="G41" s="535">
        <f>('Conversion factor'!$E$23*'Conversion factor'!$I$17)*EF_Stationary!$C$33</f>
        <v>2.534157</v>
      </c>
      <c r="H41" s="536">
        <f>('Conversion factor'!$E$23*'Conversion factor'!$I$17)*EF_Stationary!$F$33</f>
        <v>2.637E-5</v>
      </c>
      <c r="I41" s="536">
        <f>('Conversion factor'!$E$23*'Conversion factor'!$I$17)*EF_Stationary!$I$33</f>
        <v>3.9554999999999997E-5</v>
      </c>
      <c r="J41" s="535">
        <f>G41*$J$5</f>
        <v>2.534157</v>
      </c>
      <c r="K41" s="536">
        <f>H41*$L$5</f>
        <v>7.9109999999999998E-4</v>
      </c>
      <c r="L41" s="536">
        <f t="shared" si="2"/>
        <v>1.0482074999999999E-2</v>
      </c>
      <c r="M41" s="537">
        <f>SUM(J41:L41)</f>
        <v>2.5454301749999999</v>
      </c>
      <c r="N41" s="538">
        <f t="shared" si="5"/>
        <v>0</v>
      </c>
      <c r="O41" s="538">
        <f t="shared" si="6"/>
        <v>0</v>
      </c>
      <c r="P41" s="538">
        <f t="shared" si="7"/>
        <v>0</v>
      </c>
      <c r="Q41" s="540">
        <f t="shared" si="8"/>
        <v>0</v>
      </c>
    </row>
    <row r="42" spans="1:17" s="1840" customFormat="1" ht="15" customHeight="1">
      <c r="A42" s="2115"/>
      <c r="B42" s="2116"/>
      <c r="C42" s="1841" t="s">
        <v>2563</v>
      </c>
      <c r="D42" s="1677"/>
      <c r="E42" s="1839"/>
      <c r="F42" s="103"/>
      <c r="G42" s="535"/>
      <c r="H42" s="536"/>
      <c r="I42" s="536"/>
      <c r="J42" s="535"/>
      <c r="K42" s="536"/>
      <c r="L42" s="536"/>
      <c r="M42" s="537"/>
      <c r="N42" s="538"/>
      <c r="O42" s="538"/>
      <c r="P42" s="538"/>
      <c r="Q42" s="1842"/>
    </row>
    <row r="43" spans="1:17" s="1840" customFormat="1" ht="15" customHeight="1">
      <c r="A43" s="2115"/>
      <c r="B43" s="2116"/>
      <c r="C43" s="1841" t="s">
        <v>2564</v>
      </c>
      <c r="D43" s="1677"/>
      <c r="E43" s="1251">
        <v>0</v>
      </c>
      <c r="F43" s="103" t="s">
        <v>362</v>
      </c>
      <c r="G43" s="1845">
        <v>0</v>
      </c>
      <c r="H43" s="536">
        <f>'Conversion factor'!$E$35*'Conversion factor'!$I$17*EF_Stationary!F50</f>
        <v>4.797E-4</v>
      </c>
      <c r="I43" s="536">
        <f>'Conversion factor'!$E$35*'Conversion factor'!$I$17*EF_Stationary!I50</f>
        <v>6.3960000000000004E-5</v>
      </c>
      <c r="J43" s="535">
        <v>0</v>
      </c>
      <c r="K43" s="536">
        <f>H43*$K$5</f>
        <v>1.34316E-2</v>
      </c>
      <c r="L43" s="536">
        <f>I43*$M$5</f>
        <v>1.69494E-2</v>
      </c>
      <c r="M43" s="537">
        <f t="shared" ref="M43:M47" si="13">SUM(J43:L43)</f>
        <v>3.0380999999999998E-2</v>
      </c>
      <c r="N43" s="538">
        <f t="shared" ref="N43:P47" si="14">($E43*J43)/10^3</f>
        <v>0</v>
      </c>
      <c r="O43" s="538">
        <f t="shared" si="14"/>
        <v>0</v>
      </c>
      <c r="P43" s="538">
        <f t="shared" si="14"/>
        <v>0</v>
      </c>
      <c r="Q43" s="540">
        <f>ROUND(SUM(N43:P43),2)</f>
        <v>0</v>
      </c>
    </row>
    <row r="44" spans="1:17" s="1840" customFormat="1" ht="15" customHeight="1">
      <c r="A44" s="2115"/>
      <c r="B44" s="2116"/>
      <c r="C44" s="1841" t="s">
        <v>2565</v>
      </c>
      <c r="D44" s="1677"/>
      <c r="E44" s="1251">
        <v>0</v>
      </c>
      <c r="F44" s="103" t="s">
        <v>362</v>
      </c>
      <c r="G44" s="1845">
        <v>0</v>
      </c>
      <c r="H44" s="536">
        <f>'Conversion factor'!$E$41*'Conversion factor'!$I$17*EF_Stationary!$F$52</f>
        <v>3.8039999999999998E-4</v>
      </c>
      <c r="I44" s="536">
        <f>'Conversion factor'!$E$41*'Conversion factor'!$I$17*EF_Stationary!$I$52</f>
        <v>5.0719999999999996E-5</v>
      </c>
      <c r="J44" s="535">
        <v>0</v>
      </c>
      <c r="K44" s="536">
        <f t="shared" ref="K44:K46" si="15">H44*$K$5</f>
        <v>1.06512E-2</v>
      </c>
      <c r="L44" s="536">
        <f t="shared" ref="L44:L46" si="16">I44*$M$5</f>
        <v>1.3440799999999999E-2</v>
      </c>
      <c r="M44" s="537">
        <f t="shared" si="13"/>
        <v>2.4091999999999999E-2</v>
      </c>
      <c r="N44" s="538">
        <f t="shared" si="14"/>
        <v>0</v>
      </c>
      <c r="O44" s="538">
        <f t="shared" si="14"/>
        <v>0</v>
      </c>
      <c r="P44" s="538">
        <f t="shared" si="14"/>
        <v>0</v>
      </c>
      <c r="Q44" s="540">
        <f>ROUND(SUM(N44:P44),2)</f>
        <v>0</v>
      </c>
    </row>
    <row r="45" spans="1:17" s="1840" customFormat="1" ht="15" customHeight="1">
      <c r="A45" s="2123"/>
      <c r="B45" s="2116"/>
      <c r="C45" s="1841" t="s">
        <v>2566</v>
      </c>
      <c r="D45" s="1677"/>
      <c r="E45" s="1251">
        <v>0</v>
      </c>
      <c r="F45" s="103" t="s">
        <v>362</v>
      </c>
      <c r="G45" s="1845">
        <v>0</v>
      </c>
      <c r="H45" s="536">
        <f>'Conversion factor'!$E$41*'Conversion factor'!$I$17*EF_Stationary!$F$52</f>
        <v>3.8039999999999998E-4</v>
      </c>
      <c r="I45" s="536">
        <f>'Conversion factor'!$E$41*'Conversion factor'!$I$17*EF_Stationary!$I$52</f>
        <v>5.0719999999999996E-5</v>
      </c>
      <c r="J45" s="535">
        <v>0</v>
      </c>
      <c r="K45" s="536">
        <f t="shared" si="15"/>
        <v>1.06512E-2</v>
      </c>
      <c r="L45" s="536">
        <f t="shared" si="16"/>
        <v>1.3440799999999999E-2</v>
      </c>
      <c r="M45" s="537">
        <f t="shared" si="13"/>
        <v>2.4091999999999999E-2</v>
      </c>
      <c r="N45" s="538">
        <f t="shared" si="14"/>
        <v>0</v>
      </c>
      <c r="O45" s="538">
        <f t="shared" si="14"/>
        <v>0</v>
      </c>
      <c r="P45" s="538">
        <f t="shared" si="14"/>
        <v>0</v>
      </c>
      <c r="Q45" s="540">
        <f>ROUND(SUM(N45:P45),2)</f>
        <v>0</v>
      </c>
    </row>
    <row r="46" spans="1:17" s="1840" customFormat="1" ht="15" customHeight="1">
      <c r="A46" s="2123"/>
      <c r="B46" s="2116"/>
      <c r="C46" s="1841" t="s">
        <v>2567</v>
      </c>
      <c r="D46" s="1677"/>
      <c r="E46" s="1251">
        <v>0</v>
      </c>
      <c r="F46" s="103" t="s">
        <v>362</v>
      </c>
      <c r="G46" s="1845">
        <v>0</v>
      </c>
      <c r="H46" s="536">
        <f>'Conversion factor'!$I$17*7.24*EF_Stationary!F52</f>
        <v>2.1719999999999999E-4</v>
      </c>
      <c r="I46" s="536">
        <f>'Conversion factor'!$I$17*7.24*EF_Stationary!I52</f>
        <v>2.8960000000000001E-5</v>
      </c>
      <c r="J46" s="535">
        <v>0</v>
      </c>
      <c r="K46" s="536">
        <f t="shared" si="15"/>
        <v>6.0815999999999995E-3</v>
      </c>
      <c r="L46" s="536">
        <f t="shared" si="16"/>
        <v>7.6744000000000005E-3</v>
      </c>
      <c r="M46" s="537">
        <f t="shared" si="13"/>
        <v>1.3756000000000001E-2</v>
      </c>
      <c r="N46" s="538">
        <f t="shared" si="14"/>
        <v>0</v>
      </c>
      <c r="O46" s="538">
        <f t="shared" si="14"/>
        <v>0</v>
      </c>
      <c r="P46" s="538">
        <f t="shared" si="14"/>
        <v>0</v>
      </c>
      <c r="Q46" s="540">
        <f>ROUND(SUM(N46:P46),2)</f>
        <v>0</v>
      </c>
    </row>
    <row r="47" spans="1:17" s="1840" customFormat="1" ht="15" customHeight="1">
      <c r="A47" s="2123"/>
      <c r="B47" s="2116"/>
      <c r="C47" s="1841" t="s">
        <v>2568</v>
      </c>
      <c r="D47" s="1677"/>
      <c r="E47" s="1251">
        <v>0</v>
      </c>
      <c r="F47" s="103" t="s">
        <v>362</v>
      </c>
      <c r="G47" s="1845">
        <v>0</v>
      </c>
      <c r="H47" s="536">
        <f>'Conversion factor'!$E$37*'Conversion factor'!$I$17*EF_Stationary!$F$52</f>
        <v>4.3199999999999998E-4</v>
      </c>
      <c r="I47" s="536">
        <f>'Conversion factor'!$E$37*'Conversion factor'!$I$17*EF_Stationary!I52</f>
        <v>5.7599999999999997E-5</v>
      </c>
      <c r="J47" s="535">
        <v>0</v>
      </c>
      <c r="K47" s="536">
        <f>H47*$K$5</f>
        <v>1.2095999999999999E-2</v>
      </c>
      <c r="L47" s="536">
        <f>I47*$M$5</f>
        <v>1.5264E-2</v>
      </c>
      <c r="M47" s="537">
        <f t="shared" si="13"/>
        <v>2.7359999999999999E-2</v>
      </c>
      <c r="N47" s="538">
        <f t="shared" si="14"/>
        <v>0</v>
      </c>
      <c r="O47" s="538">
        <f t="shared" si="14"/>
        <v>0</v>
      </c>
      <c r="P47" s="538">
        <f t="shared" si="14"/>
        <v>0</v>
      </c>
      <c r="Q47" s="540">
        <f>ROUND(SUM(N47:P47),2)</f>
        <v>0</v>
      </c>
    </row>
    <row r="48" spans="1:17" ht="15" customHeight="1">
      <c r="A48" s="2115"/>
      <c r="B48" s="2116"/>
      <c r="C48" s="180" t="s">
        <v>455</v>
      </c>
      <c r="D48" s="1677"/>
      <c r="E48" s="1843">
        <v>0</v>
      </c>
      <c r="F48" s="1844" t="s">
        <v>362</v>
      </c>
      <c r="G48" s="1845">
        <f>('Conversion factor'!$E$39*'Conversion factor'!$I$17)*EF_Stationary!$C$46</f>
        <v>0.445662</v>
      </c>
      <c r="H48" s="536">
        <f>('Conversion factor'!$E$39*'Conversion factor'!$I$17)*EF_Stationary!F46</f>
        <v>1.4579999999999999E-4</v>
      </c>
      <c r="I48" s="536">
        <f>('Conversion factor'!$E$39*'Conversion factor'!$I$17)*EF_Stationary!I46</f>
        <v>1.944E-5</v>
      </c>
      <c r="J48" s="535">
        <f>G48*$J$5</f>
        <v>0.445662</v>
      </c>
      <c r="K48" s="536">
        <f>H48*$K$5</f>
        <v>4.0823999999999999E-3</v>
      </c>
      <c r="L48" s="536">
        <f t="shared" ref="L48:L65" si="17">I48*$M$5</f>
        <v>5.1516000000000001E-3</v>
      </c>
      <c r="M48" s="537">
        <f t="shared" si="3"/>
        <v>0.45489599999999997</v>
      </c>
      <c r="N48" s="538">
        <f t="shared" si="5"/>
        <v>0</v>
      </c>
      <c r="O48" s="538">
        <f t="shared" si="6"/>
        <v>0</v>
      </c>
      <c r="P48" s="538">
        <f t="shared" si="7"/>
        <v>0</v>
      </c>
      <c r="Q48" s="540">
        <f t="shared" si="8"/>
        <v>0</v>
      </c>
    </row>
    <row r="49" spans="1:17" ht="15" customHeight="1">
      <c r="A49" s="2115" t="s">
        <v>184</v>
      </c>
      <c r="B49" s="2116" t="s">
        <v>458</v>
      </c>
      <c r="C49" s="180" t="s">
        <v>420</v>
      </c>
      <c r="D49" s="1677"/>
      <c r="E49" s="534">
        <f>'Energy_Input DATA'!D44</f>
        <v>0</v>
      </c>
      <c r="F49" s="103" t="s">
        <v>380</v>
      </c>
      <c r="G49" s="535">
        <f>('Conversion factor'!$E$16*'Conversion factor'!$I$17)*EF_Stationary!C46</f>
        <v>3.3397139999999998</v>
      </c>
      <c r="H49" s="536">
        <f>('Conversion factor'!$E$16*'Conversion factor'!$I$17)*EF_Stationary!$F$198</f>
        <v>3.6420000000000002E-4</v>
      </c>
      <c r="I49" s="536">
        <f>('Conversion factor'!$E$16*'Conversion factor'!$I$17)*EF_Stationary!$I$198</f>
        <v>2.1852E-5</v>
      </c>
      <c r="J49" s="535">
        <f t="shared" si="1"/>
        <v>3.3397139999999998</v>
      </c>
      <c r="K49" s="536">
        <f>H49*$L$5</f>
        <v>1.0926E-2</v>
      </c>
      <c r="L49" s="536">
        <f t="shared" si="17"/>
        <v>5.7907799999999997E-3</v>
      </c>
      <c r="M49" s="537">
        <f t="shared" si="3"/>
        <v>3.3564307799999997</v>
      </c>
      <c r="N49" s="538">
        <f t="shared" si="5"/>
        <v>0</v>
      </c>
      <c r="O49" s="538">
        <f t="shared" si="6"/>
        <v>0</v>
      </c>
      <c r="P49" s="538">
        <f t="shared" si="7"/>
        <v>0</v>
      </c>
      <c r="Q49" s="540">
        <f t="shared" si="8"/>
        <v>0</v>
      </c>
    </row>
    <row r="50" spans="1:17" ht="15" customHeight="1">
      <c r="A50" s="2115"/>
      <c r="B50" s="2116"/>
      <c r="C50" s="180" t="s">
        <v>419</v>
      </c>
      <c r="D50" s="1677"/>
      <c r="E50" s="534">
        <f>'Energy_Input DATA'!G44</f>
        <v>0</v>
      </c>
      <c r="F50" s="103" t="s">
        <v>380</v>
      </c>
      <c r="G50" s="535">
        <f>('Conversion factor'!$E$13*'Conversion factor'!$I$17)*EF_Stationary!$C$192</f>
        <v>2.1815639999999998</v>
      </c>
      <c r="H50" s="536">
        <f>('Conversion factor'!$E$13*'Conversion factor'!$I$17)*EF_Stationary!F208</f>
        <v>3.1479999999999995E-4</v>
      </c>
      <c r="I50" s="536">
        <f>('Conversion factor'!$E$13*'Conversion factor'!$I$17)*EF_Stationary!I208</f>
        <v>1.8887999999999996E-5</v>
      </c>
      <c r="J50" s="535">
        <f t="shared" si="1"/>
        <v>2.1815639999999998</v>
      </c>
      <c r="K50" s="536">
        <f t="shared" ref="K50:K58" si="18">H50*$L$5</f>
        <v>9.4439999999999993E-3</v>
      </c>
      <c r="L50" s="536">
        <f t="shared" si="17"/>
        <v>5.0053199999999989E-3</v>
      </c>
      <c r="M50" s="537">
        <f t="shared" si="3"/>
        <v>2.1960133199999996</v>
      </c>
      <c r="N50" s="538">
        <f t="shared" si="5"/>
        <v>0</v>
      </c>
      <c r="O50" s="538">
        <f t="shared" si="6"/>
        <v>0</v>
      </c>
      <c r="P50" s="538">
        <f t="shared" si="7"/>
        <v>0</v>
      </c>
      <c r="Q50" s="540">
        <f t="shared" si="8"/>
        <v>0</v>
      </c>
    </row>
    <row r="51" spans="1:17">
      <c r="A51" s="2115" t="s">
        <v>186</v>
      </c>
      <c r="B51" s="2118" t="s">
        <v>459</v>
      </c>
      <c r="C51" s="180" t="s">
        <v>420</v>
      </c>
      <c r="D51" s="1677"/>
      <c r="E51" s="534">
        <f>'Energy_Input DATA'!D45</f>
        <v>0</v>
      </c>
      <c r="F51" s="103" t="s">
        <v>380</v>
      </c>
      <c r="G51" s="535">
        <f>('Conversion factor'!$E$16*'Conversion factor'!$I$17)*EF_Stationary!$C$139</f>
        <v>2.6987220000000001</v>
      </c>
      <c r="H51" s="536">
        <f>('Conversion factor'!$E$16*'Conversion factor'!$I$17)*EF_Stationary!$F$139</f>
        <v>3.6420000000000002E-4</v>
      </c>
      <c r="I51" s="536">
        <f>('Conversion factor'!$E$16*'Conversion factor'!$I$17)*EF_Stationary!$I$139</f>
        <v>2.1852E-5</v>
      </c>
      <c r="J51" s="535">
        <f t="shared" si="1"/>
        <v>2.6987220000000001</v>
      </c>
      <c r="K51" s="536">
        <f t="shared" si="18"/>
        <v>1.0926E-2</v>
      </c>
      <c r="L51" s="536">
        <f t="shared" si="17"/>
        <v>5.7907799999999997E-3</v>
      </c>
      <c r="M51" s="537">
        <f t="shared" si="3"/>
        <v>2.7154387799999999</v>
      </c>
      <c r="N51" s="538">
        <f t="shared" si="5"/>
        <v>0</v>
      </c>
      <c r="O51" s="538">
        <f t="shared" si="6"/>
        <v>0</v>
      </c>
      <c r="P51" s="538">
        <f t="shared" si="7"/>
        <v>0</v>
      </c>
      <c r="Q51" s="540">
        <f t="shared" si="8"/>
        <v>0</v>
      </c>
    </row>
    <row r="52" spans="1:17">
      <c r="A52" s="2115"/>
      <c r="B52" s="2118"/>
      <c r="C52" s="180" t="s">
        <v>303</v>
      </c>
      <c r="D52" s="1677"/>
      <c r="E52" s="534">
        <f>'Energy_Input DATA'!E45+'Energy_Input DATA'!F45</f>
        <v>0</v>
      </c>
      <c r="F52" s="103" t="s">
        <v>380</v>
      </c>
      <c r="G52" s="535">
        <f>'Conversion factor'!$E$16*'Conversion factor'!$I$17*EF_Stationary!$C$139</f>
        <v>2.6987220000000001</v>
      </c>
      <c r="H52" s="536">
        <f>'Conversion factor'!$E$16*'Conversion factor'!$I$17*EF_Stationary!$F$139</f>
        <v>3.6420000000000002E-4</v>
      </c>
      <c r="I52" s="536">
        <f>'Conversion factor'!$E$16*'Conversion factor'!$I$17*EF_Stationary!$I$139</f>
        <v>2.1852E-5</v>
      </c>
      <c r="J52" s="535">
        <f t="shared" si="1"/>
        <v>2.6987220000000001</v>
      </c>
      <c r="K52" s="536">
        <f t="shared" si="18"/>
        <v>1.0926E-2</v>
      </c>
      <c r="L52" s="536">
        <f t="shared" si="17"/>
        <v>5.7907799999999997E-3</v>
      </c>
      <c r="M52" s="537">
        <f t="shared" si="3"/>
        <v>2.7154387799999999</v>
      </c>
      <c r="N52" s="538">
        <f t="shared" si="5"/>
        <v>0</v>
      </c>
      <c r="O52" s="538">
        <f t="shared" si="6"/>
        <v>0</v>
      </c>
      <c r="P52" s="538">
        <f t="shared" si="7"/>
        <v>0</v>
      </c>
      <c r="Q52" s="540">
        <f t="shared" si="8"/>
        <v>0</v>
      </c>
    </row>
    <row r="53" spans="1:17">
      <c r="A53" s="2115"/>
      <c r="B53" s="2118"/>
      <c r="C53" s="99" t="s">
        <v>382</v>
      </c>
      <c r="D53" s="1677"/>
      <c r="E53" s="534">
        <f>'Energy_Input DATA'!I45</f>
        <v>0</v>
      </c>
      <c r="F53" s="104" t="s">
        <v>380</v>
      </c>
      <c r="G53" s="535">
        <f>'Conversion factor'!$E$16*'Conversion factor'!$I$17*EF_Stationary!$C$139*90%</f>
        <v>2.4288498000000001</v>
      </c>
      <c r="H53" s="536">
        <f>'Conversion factor'!$E$16*'Conversion factor'!$I$17*EF_Stationary!$F$139</f>
        <v>3.6420000000000002E-4</v>
      </c>
      <c r="I53" s="536">
        <f>'Conversion factor'!$E$16*'Conversion factor'!$I$17*EF_Stationary!$I$139</f>
        <v>2.1852E-5</v>
      </c>
      <c r="J53" s="535">
        <f t="shared" si="1"/>
        <v>2.4288498000000001</v>
      </c>
      <c r="K53" s="536">
        <f t="shared" si="18"/>
        <v>1.0926E-2</v>
      </c>
      <c r="L53" s="536">
        <f t="shared" si="17"/>
        <v>5.7907799999999997E-3</v>
      </c>
      <c r="M53" s="537">
        <f t="shared" si="3"/>
        <v>2.4455665799999999</v>
      </c>
      <c r="N53" s="538">
        <f t="shared" si="5"/>
        <v>0</v>
      </c>
      <c r="O53" s="538">
        <f t="shared" si="6"/>
        <v>0</v>
      </c>
      <c r="P53" s="538">
        <f t="shared" si="7"/>
        <v>0</v>
      </c>
      <c r="Q53" s="540">
        <f t="shared" si="8"/>
        <v>0</v>
      </c>
    </row>
    <row r="54" spans="1:17">
      <c r="A54" s="2115"/>
      <c r="B54" s="2118"/>
      <c r="C54" s="99" t="s">
        <v>383</v>
      </c>
      <c r="D54" s="1677"/>
      <c r="E54" s="534">
        <f>'Energy_Input DATA'!J45</f>
        <v>0</v>
      </c>
      <c r="F54" s="104" t="s">
        <v>380</v>
      </c>
      <c r="G54" s="535">
        <f>'Conversion factor'!$E$16*'Conversion factor'!$I$17*EF_Stationary!$C$139*80%</f>
        <v>2.1589776000000001</v>
      </c>
      <c r="H54" s="536">
        <f>'Conversion factor'!$E$16*'Conversion factor'!$I$17*EF_Stationary!$F$139</f>
        <v>3.6420000000000002E-4</v>
      </c>
      <c r="I54" s="536">
        <f>'Conversion factor'!$E$16*'Conversion factor'!$I$17*EF_Stationary!$I$139</f>
        <v>2.1852E-5</v>
      </c>
      <c r="J54" s="535">
        <f t="shared" si="1"/>
        <v>2.1589776000000001</v>
      </c>
      <c r="K54" s="536">
        <f t="shared" si="18"/>
        <v>1.0926E-2</v>
      </c>
      <c r="L54" s="536">
        <f t="shared" si="17"/>
        <v>5.7907799999999997E-3</v>
      </c>
      <c r="M54" s="537">
        <f t="shared" si="3"/>
        <v>2.1756943799999999</v>
      </c>
      <c r="N54" s="538">
        <f t="shared" si="5"/>
        <v>0</v>
      </c>
      <c r="O54" s="538">
        <f t="shared" si="6"/>
        <v>0</v>
      </c>
      <c r="P54" s="538">
        <f t="shared" si="7"/>
        <v>0</v>
      </c>
      <c r="Q54" s="540">
        <f t="shared" si="8"/>
        <v>0</v>
      </c>
    </row>
    <row r="55" spans="1:17">
      <c r="A55" s="2115"/>
      <c r="B55" s="2118"/>
      <c r="C55" s="180" t="s">
        <v>419</v>
      </c>
      <c r="D55" s="1677"/>
      <c r="E55" s="534">
        <f>'Energy_Input DATA'!G45</f>
        <v>0</v>
      </c>
      <c r="F55" s="103" t="s">
        <v>380</v>
      </c>
      <c r="G55" s="535">
        <f>('Conversion factor'!$E$13*'Conversion factor'!$I$17)*EF_Stationary!$C$192</f>
        <v>2.1815639999999998</v>
      </c>
      <c r="H55" s="536">
        <f>('Conversion factor'!$E$13*'Conversion factor'!$I$17)*EF_Stationary!$F$192</f>
        <v>3.1479999999999995E-4</v>
      </c>
      <c r="I55" s="536">
        <f>('Conversion factor'!$E$13*'Conversion factor'!$I$17)*EF_Stationary!$I$192</f>
        <v>1.8887999999999996E-5</v>
      </c>
      <c r="J55" s="535">
        <f t="shared" si="1"/>
        <v>2.1815639999999998</v>
      </c>
      <c r="K55" s="536">
        <f t="shared" si="18"/>
        <v>9.4439999999999993E-3</v>
      </c>
      <c r="L55" s="536">
        <f t="shared" si="17"/>
        <v>5.0053199999999989E-3</v>
      </c>
      <c r="M55" s="537">
        <f t="shared" si="3"/>
        <v>2.1960133199999996</v>
      </c>
      <c r="N55" s="538">
        <f t="shared" si="5"/>
        <v>0</v>
      </c>
      <c r="O55" s="538">
        <f t="shared" si="6"/>
        <v>0</v>
      </c>
      <c r="P55" s="538">
        <f t="shared" si="7"/>
        <v>0</v>
      </c>
      <c r="Q55" s="1627">
        <f t="shared" si="8"/>
        <v>0</v>
      </c>
    </row>
    <row r="56" spans="1:17" s="1397" customFormat="1">
      <c r="A56" s="2115"/>
      <c r="B56" s="2118"/>
      <c r="C56" s="99" t="s">
        <v>386</v>
      </c>
      <c r="D56" s="1677"/>
      <c r="E56" s="534">
        <f>'Energy_Input DATA'!L45</f>
        <v>0</v>
      </c>
      <c r="F56" s="104" t="s">
        <v>380</v>
      </c>
      <c r="G56" s="535">
        <f>('Conversion factor'!$E$13*'Conversion factor'!$I$17)*EF_Stationary!$C$192*15%</f>
        <v>0.32723459999999999</v>
      </c>
      <c r="H56" s="536">
        <f>('Conversion factor'!$E$13*'Conversion factor'!$I$17)*EF_Stationary!$F$192</f>
        <v>3.1479999999999995E-4</v>
      </c>
      <c r="I56" s="536">
        <f>('Conversion factor'!$E$13*'Conversion factor'!$I$17)*EF_Stationary!$I$192</f>
        <v>1.8887999999999996E-5</v>
      </c>
      <c r="J56" s="535">
        <f t="shared" si="1"/>
        <v>0.32723459999999999</v>
      </c>
      <c r="K56" s="536">
        <f t="shared" si="18"/>
        <v>9.4439999999999993E-3</v>
      </c>
      <c r="L56" s="535">
        <f t="shared" si="17"/>
        <v>5.0053199999999989E-3</v>
      </c>
      <c r="M56" s="537">
        <f>SUM(J56:L56)</f>
        <v>0.34168391999999997</v>
      </c>
      <c r="N56" s="538">
        <f t="shared" si="5"/>
        <v>0</v>
      </c>
      <c r="O56" s="538">
        <f t="shared" si="6"/>
        <v>0</v>
      </c>
      <c r="P56" s="538">
        <f t="shared" si="7"/>
        <v>0</v>
      </c>
      <c r="Q56" s="1627">
        <f t="shared" si="8"/>
        <v>0</v>
      </c>
    </row>
    <row r="57" spans="1:17" s="1397" customFormat="1">
      <c r="A57" s="2115"/>
      <c r="B57" s="2118"/>
      <c r="C57" s="99" t="s">
        <v>387</v>
      </c>
      <c r="D57" s="1677"/>
      <c r="E57" s="534">
        <f>'Energy_Input DATA'!M45</f>
        <v>0</v>
      </c>
      <c r="F57" s="104" t="s">
        <v>380</v>
      </c>
      <c r="G57" s="535">
        <f>('Conversion factor'!$E$13*'Conversion factor'!$I$17)*EF_Stationary!$C$192*80%</f>
        <v>1.7452512</v>
      </c>
      <c r="H57" s="536">
        <f>('Conversion factor'!$E$13*'Conversion factor'!$I$17)*EF_Stationary!$F$192</f>
        <v>3.1479999999999995E-4</v>
      </c>
      <c r="I57" s="536">
        <f>('Conversion factor'!$E$13*'Conversion factor'!$I$17)*EF_Stationary!$I$192</f>
        <v>1.8887999999999996E-5</v>
      </c>
      <c r="J57" s="535">
        <f t="shared" si="1"/>
        <v>1.7452512</v>
      </c>
      <c r="K57" s="536">
        <f t="shared" si="18"/>
        <v>9.4439999999999993E-3</v>
      </c>
      <c r="L57" s="535">
        <f t="shared" si="17"/>
        <v>5.0053199999999989E-3</v>
      </c>
      <c r="M57" s="537">
        <f>SUM(J57:L57)</f>
        <v>1.75970052</v>
      </c>
      <c r="N57" s="538">
        <f t="shared" si="5"/>
        <v>0</v>
      </c>
      <c r="O57" s="538">
        <f t="shared" si="6"/>
        <v>0</v>
      </c>
      <c r="P57" s="538">
        <f t="shared" si="7"/>
        <v>0</v>
      </c>
      <c r="Q57" s="1627">
        <f t="shared" si="8"/>
        <v>0</v>
      </c>
    </row>
    <row r="58" spans="1:17">
      <c r="A58" s="2115"/>
      <c r="B58" s="2118"/>
      <c r="C58" s="99" t="s">
        <v>385</v>
      </c>
      <c r="D58" s="1677"/>
      <c r="E58" s="534">
        <f>'Energy_Input DATA'!K45</f>
        <v>0</v>
      </c>
      <c r="F58" s="104" t="s">
        <v>380</v>
      </c>
      <c r="G58" s="535">
        <f>('Conversion factor'!$E$13*'Conversion factor'!$I$17)*EF_Stationary!$C$192*90%</f>
        <v>1.9634075999999998</v>
      </c>
      <c r="H58" s="536">
        <f>('Conversion factor'!$E$13*'Conversion factor'!$I$17)*EF_Stationary!$F$192</f>
        <v>3.1479999999999995E-4</v>
      </c>
      <c r="I58" s="536">
        <f>('Conversion factor'!$E$13*'Conversion factor'!$I$17)*EF_Stationary!$I$192</f>
        <v>1.8887999999999996E-5</v>
      </c>
      <c r="J58" s="535">
        <f t="shared" si="1"/>
        <v>1.9634075999999998</v>
      </c>
      <c r="K58" s="536">
        <f t="shared" si="18"/>
        <v>9.4439999999999993E-3</v>
      </c>
      <c r="L58" s="535">
        <f t="shared" si="17"/>
        <v>5.0053199999999989E-3</v>
      </c>
      <c r="M58" s="537">
        <f>SUM(J58:L58)</f>
        <v>1.9778569199999998</v>
      </c>
      <c r="N58" s="538">
        <f t="shared" si="5"/>
        <v>0</v>
      </c>
      <c r="O58" s="538">
        <f t="shared" si="6"/>
        <v>0</v>
      </c>
      <c r="P58" s="538">
        <f t="shared" si="7"/>
        <v>0</v>
      </c>
      <c r="Q58" s="1627">
        <f t="shared" si="8"/>
        <v>0</v>
      </c>
    </row>
    <row r="59" spans="1:17">
      <c r="A59" s="2115"/>
      <c r="B59" s="2118"/>
      <c r="C59" s="180" t="s">
        <v>450</v>
      </c>
      <c r="D59" s="1677"/>
      <c r="E59" s="534">
        <f>'Energy_Input DATA'!H45</f>
        <v>0</v>
      </c>
      <c r="F59" s="103" t="s">
        <v>380</v>
      </c>
      <c r="G59" s="535">
        <f>('Conversion factor'!$E$17*'Conversion factor'!$I$17)*EF_Stationary!$C$140</f>
        <v>3.078198</v>
      </c>
      <c r="H59" s="536">
        <f>('Conversion factor'!$E$17*'Conversion factor'!$I$17)*EF_Stationary!$F$140</f>
        <v>3.9770000000000002E-4</v>
      </c>
      <c r="I59" s="536">
        <f>('Conversion factor'!$E$17*'Conversion factor'!$I$17)*EF_Stationary!$I$140</f>
        <v>2.3862E-5</v>
      </c>
      <c r="J59" s="535">
        <f t="shared" si="1"/>
        <v>3.078198</v>
      </c>
      <c r="K59" s="536">
        <f>H59*$L$5</f>
        <v>1.1931000000000001E-2</v>
      </c>
      <c r="L59" s="536">
        <f t="shared" si="17"/>
        <v>6.3234299999999997E-3</v>
      </c>
      <c r="M59" s="537">
        <f t="shared" si="3"/>
        <v>3.0964524300000003</v>
      </c>
      <c r="N59" s="538">
        <f t="shared" si="5"/>
        <v>0</v>
      </c>
      <c r="O59" s="538">
        <f t="shared" si="6"/>
        <v>0</v>
      </c>
      <c r="P59" s="538">
        <f t="shared" si="7"/>
        <v>0</v>
      </c>
      <c r="Q59" s="1627">
        <f t="shared" si="8"/>
        <v>0</v>
      </c>
    </row>
    <row r="60" spans="1:17" ht="43.35" customHeight="1">
      <c r="A60" s="753" t="s">
        <v>188</v>
      </c>
      <c r="B60" s="607" t="s">
        <v>2576</v>
      </c>
      <c r="C60" s="1398" t="s">
        <v>308</v>
      </c>
      <c r="D60" s="1677"/>
      <c r="E60" s="1251">
        <v>0</v>
      </c>
      <c r="F60" s="103" t="s">
        <v>362</v>
      </c>
      <c r="G60" s="535"/>
      <c r="H60" s="536"/>
      <c r="I60" s="536"/>
      <c r="J60" s="535">
        <f>G60*$J$5</f>
        <v>0</v>
      </c>
      <c r="K60" s="536">
        <f>H60*$L$5</f>
        <v>0</v>
      </c>
      <c r="L60" s="536">
        <f t="shared" si="17"/>
        <v>0</v>
      </c>
      <c r="M60" s="537">
        <f>SUM(J60:L60)</f>
        <v>0</v>
      </c>
      <c r="N60" s="538">
        <f t="shared" si="5"/>
        <v>0</v>
      </c>
      <c r="O60" s="538">
        <f t="shared" si="6"/>
        <v>0</v>
      </c>
      <c r="P60" s="538">
        <f t="shared" si="7"/>
        <v>0</v>
      </c>
      <c r="Q60" s="540">
        <f>ROUND(SUM(N60:P60),2)</f>
        <v>0</v>
      </c>
    </row>
    <row r="61" spans="1:17" ht="15" customHeight="1">
      <c r="A61" s="2115" t="s">
        <v>190</v>
      </c>
      <c r="B61" s="2118" t="s">
        <v>460</v>
      </c>
      <c r="C61" s="99" t="s">
        <v>461</v>
      </c>
      <c r="D61" s="1677"/>
      <c r="E61" s="1251">
        <v>0</v>
      </c>
      <c r="F61" s="103" t="s">
        <v>462</v>
      </c>
      <c r="G61" s="536">
        <v>1.6999999999999999E-3</v>
      </c>
      <c r="H61" s="536">
        <v>5.5999999999999995E-4</v>
      </c>
      <c r="I61" s="1624">
        <v>0</v>
      </c>
      <c r="J61" s="535">
        <f t="shared" si="1"/>
        <v>1.6999999999999999E-3</v>
      </c>
      <c r="K61" s="536">
        <f t="shared" ref="K61:K64" si="19">H61*$L$5</f>
        <v>1.6799999999999999E-2</v>
      </c>
      <c r="L61" s="536">
        <f t="shared" si="17"/>
        <v>0</v>
      </c>
      <c r="M61" s="537">
        <f t="shared" si="3"/>
        <v>1.8499999999999999E-2</v>
      </c>
      <c r="N61" s="538">
        <f t="shared" si="5"/>
        <v>0</v>
      </c>
      <c r="O61" s="538">
        <f t="shared" si="6"/>
        <v>0</v>
      </c>
      <c r="P61" s="538">
        <f t="shared" si="7"/>
        <v>0</v>
      </c>
      <c r="Q61" s="540">
        <f t="shared" si="8"/>
        <v>0</v>
      </c>
    </row>
    <row r="62" spans="1:17" ht="15" customHeight="1">
      <c r="A62" s="2115"/>
      <c r="B62" s="2118"/>
      <c r="C62" s="99" t="s">
        <v>463</v>
      </c>
      <c r="D62" s="1677"/>
      <c r="E62" s="1251">
        <v>0</v>
      </c>
      <c r="F62" s="103" t="s">
        <v>462</v>
      </c>
      <c r="G62" s="106">
        <v>2.3E-6</v>
      </c>
      <c r="H62" s="106">
        <v>2.5000000000000001E-5</v>
      </c>
      <c r="I62" s="1624">
        <v>0</v>
      </c>
      <c r="J62" s="535">
        <f>G62*$J$5</f>
        <v>2.3E-6</v>
      </c>
      <c r="K62" s="536">
        <f t="shared" si="19"/>
        <v>7.5000000000000002E-4</v>
      </c>
      <c r="L62" s="536">
        <f t="shared" si="17"/>
        <v>0</v>
      </c>
      <c r="M62" s="537">
        <f>SUM(J62:L62)</f>
        <v>7.5230000000000002E-4</v>
      </c>
      <c r="N62" s="538">
        <f t="shared" si="5"/>
        <v>0</v>
      </c>
      <c r="O62" s="538">
        <f t="shared" si="6"/>
        <v>0</v>
      </c>
      <c r="P62" s="538">
        <f t="shared" si="7"/>
        <v>0</v>
      </c>
      <c r="Q62" s="540">
        <f t="shared" si="8"/>
        <v>0</v>
      </c>
    </row>
    <row r="63" spans="1:17" ht="15" customHeight="1">
      <c r="A63" s="2115"/>
      <c r="B63" s="2118"/>
      <c r="C63" s="99" t="s">
        <v>464</v>
      </c>
      <c r="D63" s="1677"/>
      <c r="E63" s="534">
        <f>'Energy_Input DATA'!C126</f>
        <v>0</v>
      </c>
      <c r="F63" s="103" t="s">
        <v>462</v>
      </c>
      <c r="G63" s="536">
        <v>0</v>
      </c>
      <c r="H63" s="536">
        <f>41*10^-6</f>
        <v>4.1E-5</v>
      </c>
      <c r="I63" s="1624">
        <v>0</v>
      </c>
      <c r="J63" s="535">
        <f>G63*$J$5</f>
        <v>0</v>
      </c>
      <c r="K63" s="536">
        <f t="shared" si="19"/>
        <v>1.23E-3</v>
      </c>
      <c r="L63" s="536">
        <f t="shared" si="17"/>
        <v>0</v>
      </c>
      <c r="M63" s="537">
        <f>SUM(J63:L63)</f>
        <v>1.23E-3</v>
      </c>
      <c r="N63" s="538">
        <f t="shared" si="5"/>
        <v>0</v>
      </c>
      <c r="O63" s="538">
        <f t="shared" si="6"/>
        <v>0</v>
      </c>
      <c r="P63" s="538">
        <f t="shared" si="7"/>
        <v>0</v>
      </c>
      <c r="Q63" s="540">
        <f t="shared" si="8"/>
        <v>0</v>
      </c>
    </row>
    <row r="64" spans="1:17" ht="16.350000000000001" customHeight="1">
      <c r="A64" s="2115"/>
      <c r="B64" s="2118"/>
      <c r="C64" s="99" t="s">
        <v>465</v>
      </c>
      <c r="D64" s="1677"/>
      <c r="E64" s="1251">
        <v>0</v>
      </c>
      <c r="F64" s="103" t="s">
        <v>462</v>
      </c>
      <c r="G64" s="536">
        <v>1.6999999999999999E-3</v>
      </c>
      <c r="H64" s="536">
        <v>5.5999999999999995E-4</v>
      </c>
      <c r="I64" s="1624">
        <v>0</v>
      </c>
      <c r="J64" s="535">
        <f>G64*$J$5</f>
        <v>1.6999999999999999E-3</v>
      </c>
      <c r="K64" s="536">
        <f t="shared" si="19"/>
        <v>1.6799999999999999E-2</v>
      </c>
      <c r="L64" s="536">
        <f t="shared" si="17"/>
        <v>0</v>
      </c>
      <c r="M64" s="537">
        <f>SUM(J64:L64)</f>
        <v>1.8499999999999999E-2</v>
      </c>
      <c r="N64" s="538">
        <f t="shared" si="5"/>
        <v>0</v>
      </c>
      <c r="O64" s="538">
        <f t="shared" si="6"/>
        <v>0</v>
      </c>
      <c r="P64" s="538">
        <f t="shared" si="7"/>
        <v>0</v>
      </c>
      <c r="Q64" s="540">
        <f t="shared" si="8"/>
        <v>0</v>
      </c>
    </row>
    <row r="65" spans="1:17" ht="15" customHeight="1">
      <c r="A65" s="2115"/>
      <c r="B65" s="2118"/>
      <c r="C65" s="99" t="s">
        <v>466</v>
      </c>
      <c r="D65" s="1677"/>
      <c r="E65" s="534">
        <f>'Energy_Input DATA'!C108</f>
        <v>0</v>
      </c>
      <c r="F65" s="103" t="s">
        <v>462</v>
      </c>
      <c r="G65" s="536">
        <v>1.8E-5</v>
      </c>
      <c r="H65" s="536">
        <v>2.2000000000000001E-4</v>
      </c>
      <c r="I65" s="1624">
        <v>0</v>
      </c>
      <c r="J65" s="535">
        <f>G65*$J$5</f>
        <v>1.8E-5</v>
      </c>
      <c r="K65" s="536">
        <f>H65*$L$5</f>
        <v>6.6E-3</v>
      </c>
      <c r="L65" s="536">
        <f t="shared" si="17"/>
        <v>0</v>
      </c>
      <c r="M65" s="537">
        <f>SUM(J65:L65)</f>
        <v>6.6179999999999998E-3</v>
      </c>
      <c r="N65" s="538">
        <f t="shared" si="5"/>
        <v>0</v>
      </c>
      <c r="O65" s="538">
        <f t="shared" si="6"/>
        <v>0</v>
      </c>
      <c r="P65" s="538">
        <f t="shared" si="7"/>
        <v>0</v>
      </c>
      <c r="Q65" s="540">
        <f t="shared" si="8"/>
        <v>0</v>
      </c>
    </row>
    <row r="66" spans="1:17" ht="15" customHeight="1" thickBot="1">
      <c r="A66" s="2120"/>
      <c r="B66" s="2119"/>
      <c r="C66" s="621" t="s">
        <v>467</v>
      </c>
      <c r="D66" s="1743"/>
      <c r="E66" s="940">
        <f>'Energy_Input DATA'!C115</f>
        <v>0</v>
      </c>
      <c r="F66" s="622" t="s">
        <v>462</v>
      </c>
      <c r="G66" s="1625">
        <v>1.3999999999999999E-4</v>
      </c>
      <c r="H66" s="1625">
        <v>2.5000000000000001E-3</v>
      </c>
      <c r="I66" s="1626">
        <v>0</v>
      </c>
      <c r="J66" s="625">
        <f>G66*$J$5</f>
        <v>1.3999999999999999E-4</v>
      </c>
      <c r="K66" s="626">
        <f>H66*$L$5</f>
        <v>7.4999999999999997E-2</v>
      </c>
      <c r="L66" s="626">
        <f>I66*$M$5</f>
        <v>0</v>
      </c>
      <c r="M66" s="627">
        <f>SUM(J66:L66)</f>
        <v>7.5139999999999998E-2</v>
      </c>
      <c r="N66" s="636">
        <f>($E66*J66)/10^3</f>
        <v>0</v>
      </c>
      <c r="O66" s="636">
        <f>($E66*K66)/10^3</f>
        <v>0</v>
      </c>
      <c r="P66" s="636">
        <f>($E66*L66)/10^3</f>
        <v>0</v>
      </c>
      <c r="Q66" s="1105">
        <f>ROUND(SUM(N66:P66),2)</f>
        <v>0</v>
      </c>
    </row>
    <row r="67" spans="1:17">
      <c r="A67" s="115"/>
      <c r="B67" s="115"/>
      <c r="E67" s="941"/>
      <c r="F67" s="104"/>
      <c r="G67" s="105"/>
      <c r="H67" s="106"/>
      <c r="I67" s="106"/>
      <c r="J67" s="105"/>
      <c r="K67" s="106"/>
      <c r="L67" s="106"/>
      <c r="M67" s="107"/>
      <c r="N67" s="108"/>
      <c r="O67" s="108"/>
      <c r="P67" s="108"/>
      <c r="Q67" s="109"/>
    </row>
    <row r="68" spans="1:17" ht="13.8" thickBot="1">
      <c r="A68" s="111" t="s">
        <v>468</v>
      </c>
      <c r="B68" s="112"/>
      <c r="C68" s="113"/>
      <c r="D68" s="113"/>
      <c r="E68" s="629"/>
      <c r="F68" s="111"/>
      <c r="G68" s="111"/>
      <c r="H68" s="111"/>
      <c r="I68" s="111"/>
      <c r="J68" s="111"/>
      <c r="K68" s="111"/>
      <c r="L68" s="111"/>
      <c r="M68" s="111"/>
      <c r="N68" s="111"/>
      <c r="O68" s="111"/>
      <c r="P68" s="111"/>
      <c r="Q68" s="1628"/>
    </row>
    <row r="69" spans="1:17" s="180" customFormat="1">
      <c r="A69" s="1165" t="s">
        <v>448</v>
      </c>
      <c r="B69" s="605" t="s">
        <v>449</v>
      </c>
      <c r="C69" s="605" t="s">
        <v>469</v>
      </c>
      <c r="D69" s="528"/>
      <c r="E69" s="534">
        <f>'Energy_Input DATA'!C61</f>
        <v>0</v>
      </c>
      <c r="F69" s="529" t="s">
        <v>353</v>
      </c>
      <c r="G69" s="605">
        <v>0.49540000000000001</v>
      </c>
      <c r="H69" s="606">
        <v>6.0999999999999999E-5</v>
      </c>
      <c r="I69" s="606">
        <v>1.04E-5</v>
      </c>
      <c r="J69" s="530">
        <f t="shared" ref="J69:J74" si="20">G69*$J$5</f>
        <v>0.49540000000000001</v>
      </c>
      <c r="K69" s="531">
        <f>H69*$K$5</f>
        <v>1.7079999999999999E-3</v>
      </c>
      <c r="L69" s="531">
        <f>I69*$M$5</f>
        <v>2.7560000000000002E-3</v>
      </c>
      <c r="M69" s="532">
        <f>SUM(J69:L69)</f>
        <v>0.49986399999999998</v>
      </c>
      <c r="N69" s="533">
        <f t="shared" ref="N69:P74" si="21">($E69*J69)/10^3</f>
        <v>0</v>
      </c>
      <c r="O69" s="533">
        <f t="shared" si="21"/>
        <v>0</v>
      </c>
      <c r="P69" s="533">
        <f t="shared" si="21"/>
        <v>0</v>
      </c>
      <c r="Q69" s="1104">
        <f t="shared" ref="Q69:Q74" si="22">ROUND(SUM(N69:P69),2)</f>
        <v>0</v>
      </c>
    </row>
    <row r="70" spans="1:17" s="180" customFormat="1" ht="26.4">
      <c r="A70" s="753" t="s">
        <v>177</v>
      </c>
      <c r="B70" s="607" t="s">
        <v>451</v>
      </c>
      <c r="C70" s="607" t="s">
        <v>469</v>
      </c>
      <c r="E70" s="534">
        <f>'Energy_Input DATA'!C62</f>
        <v>0</v>
      </c>
      <c r="F70" s="103" t="s">
        <v>353</v>
      </c>
      <c r="G70" s="607">
        <v>0.49540000000000001</v>
      </c>
      <c r="H70" s="608">
        <v>6.0999999999999999E-5</v>
      </c>
      <c r="I70" s="608">
        <v>1.04E-5</v>
      </c>
      <c r="J70" s="535">
        <f t="shared" si="20"/>
        <v>0.49540000000000001</v>
      </c>
      <c r="K70" s="536">
        <f>H70*$K$5</f>
        <v>1.7079999999999999E-3</v>
      </c>
      <c r="L70" s="536">
        <f t="shared" ref="L70:L74" si="23">I70*$M$5</f>
        <v>2.7560000000000002E-3</v>
      </c>
      <c r="M70" s="537">
        <f t="shared" ref="M70:M74" si="24">SUM(J70:L70)</f>
        <v>0.49986399999999998</v>
      </c>
      <c r="N70" s="538">
        <f t="shared" si="21"/>
        <v>0</v>
      </c>
      <c r="O70" s="538">
        <f t="shared" si="21"/>
        <v>0</v>
      </c>
      <c r="P70" s="538">
        <f t="shared" si="21"/>
        <v>0</v>
      </c>
      <c r="Q70" s="540">
        <f t="shared" si="22"/>
        <v>0</v>
      </c>
    </row>
    <row r="71" spans="1:17" s="180" customFormat="1" ht="26.4">
      <c r="A71" s="753" t="s">
        <v>179</v>
      </c>
      <c r="B71" s="607" t="s">
        <v>452</v>
      </c>
      <c r="C71" s="607" t="s">
        <v>469</v>
      </c>
      <c r="E71" s="534">
        <f>'Energy_Input DATA'!C63</f>
        <v>0</v>
      </c>
      <c r="F71" s="103" t="s">
        <v>353</v>
      </c>
      <c r="G71" s="607">
        <v>0.49540000000000001</v>
      </c>
      <c r="H71" s="608">
        <v>6.0999999999999999E-5</v>
      </c>
      <c r="I71" s="608">
        <v>1.04E-5</v>
      </c>
      <c r="J71" s="535">
        <f t="shared" si="20"/>
        <v>0.49540000000000001</v>
      </c>
      <c r="K71" s="536">
        <f>H71*$K$5</f>
        <v>1.7079999999999999E-3</v>
      </c>
      <c r="L71" s="536">
        <f t="shared" si="23"/>
        <v>2.7560000000000002E-3</v>
      </c>
      <c r="M71" s="537">
        <f t="shared" si="24"/>
        <v>0.49986399999999998</v>
      </c>
      <c r="N71" s="538">
        <f t="shared" si="21"/>
        <v>0</v>
      </c>
      <c r="O71" s="538">
        <f t="shared" si="21"/>
        <v>0</v>
      </c>
      <c r="P71" s="538">
        <f t="shared" si="21"/>
        <v>0</v>
      </c>
      <c r="Q71" s="540">
        <f t="shared" si="22"/>
        <v>0</v>
      </c>
    </row>
    <row r="72" spans="1:17" s="180" customFormat="1">
      <c r="A72" s="753" t="s">
        <v>470</v>
      </c>
      <c r="B72" s="607" t="s">
        <v>454</v>
      </c>
      <c r="C72" s="607" t="s">
        <v>469</v>
      </c>
      <c r="D72" s="611" t="s">
        <v>51</v>
      </c>
      <c r="E72" s="534">
        <f>'Energy_Input DATA'!C64</f>
        <v>0</v>
      </c>
      <c r="F72" s="103" t="s">
        <v>353</v>
      </c>
      <c r="G72" s="607">
        <v>0.49540000000000001</v>
      </c>
      <c r="H72" s="608">
        <v>6.0999999999999999E-5</v>
      </c>
      <c r="I72" s="608">
        <v>1.04E-5</v>
      </c>
      <c r="J72" s="535">
        <f t="shared" si="20"/>
        <v>0.49540000000000001</v>
      </c>
      <c r="K72" s="536">
        <f t="shared" ref="K72:K74" si="25">H72*$K$5</f>
        <v>1.7079999999999999E-3</v>
      </c>
      <c r="L72" s="536">
        <f t="shared" si="23"/>
        <v>2.7560000000000002E-3</v>
      </c>
      <c r="M72" s="537">
        <f t="shared" si="24"/>
        <v>0.49986399999999998</v>
      </c>
      <c r="N72" s="538">
        <f t="shared" si="21"/>
        <v>0</v>
      </c>
      <c r="O72" s="538">
        <f t="shared" si="21"/>
        <v>0</v>
      </c>
      <c r="P72" s="538">
        <f t="shared" si="21"/>
        <v>0</v>
      </c>
      <c r="Q72" s="540">
        <f t="shared" si="22"/>
        <v>0</v>
      </c>
    </row>
    <row r="73" spans="1:17" s="180" customFormat="1" ht="26.4">
      <c r="A73" s="753" t="s">
        <v>184</v>
      </c>
      <c r="B73" s="607" t="s">
        <v>458</v>
      </c>
      <c r="C73" s="607" t="s">
        <v>469</v>
      </c>
      <c r="E73" s="534">
        <f>'Energy_Input DATA'!C65</f>
        <v>0</v>
      </c>
      <c r="F73" s="103" t="s">
        <v>353</v>
      </c>
      <c r="G73" s="607">
        <v>0.49540000000000001</v>
      </c>
      <c r="H73" s="608">
        <v>6.0999999999999999E-5</v>
      </c>
      <c r="I73" s="608">
        <v>1.04E-5</v>
      </c>
      <c r="J73" s="535">
        <f t="shared" si="20"/>
        <v>0.49540000000000001</v>
      </c>
      <c r="K73" s="536">
        <f t="shared" si="25"/>
        <v>1.7079999999999999E-3</v>
      </c>
      <c r="L73" s="536">
        <f t="shared" si="23"/>
        <v>2.7560000000000002E-3</v>
      </c>
      <c r="M73" s="537">
        <f t="shared" si="24"/>
        <v>0.49986399999999998</v>
      </c>
      <c r="N73" s="538">
        <f t="shared" si="21"/>
        <v>0</v>
      </c>
      <c r="O73" s="538">
        <f t="shared" si="21"/>
        <v>0</v>
      </c>
      <c r="P73" s="538">
        <f t="shared" si="21"/>
        <v>0</v>
      </c>
      <c r="Q73" s="540">
        <f t="shared" si="22"/>
        <v>0</v>
      </c>
    </row>
    <row r="74" spans="1:17" s="180" customFormat="1" ht="13.8" thickBot="1">
      <c r="A74" s="871" t="s">
        <v>186</v>
      </c>
      <c r="B74" s="623" t="s">
        <v>459</v>
      </c>
      <c r="C74" s="623" t="s">
        <v>469</v>
      </c>
      <c r="D74" s="621"/>
      <c r="E74" s="534">
        <f>'Energy_Input DATA'!C66</f>
        <v>0</v>
      </c>
      <c r="F74" s="622" t="s">
        <v>353</v>
      </c>
      <c r="G74" s="623">
        <v>0.49540000000000001</v>
      </c>
      <c r="H74" s="624">
        <v>6.0999999999999999E-5</v>
      </c>
      <c r="I74" s="624">
        <v>1.04E-5</v>
      </c>
      <c r="J74" s="625">
        <f t="shared" si="20"/>
        <v>0.49540000000000001</v>
      </c>
      <c r="K74" s="626">
        <f t="shared" si="25"/>
        <v>1.7079999999999999E-3</v>
      </c>
      <c r="L74" s="626">
        <f t="shared" si="23"/>
        <v>2.7560000000000002E-3</v>
      </c>
      <c r="M74" s="627">
        <f t="shared" si="24"/>
        <v>0.49986399999999998</v>
      </c>
      <c r="N74" s="636">
        <f t="shared" si="21"/>
        <v>0</v>
      </c>
      <c r="O74" s="636">
        <f t="shared" si="21"/>
        <v>0</v>
      </c>
      <c r="P74" s="636">
        <f t="shared" si="21"/>
        <v>0</v>
      </c>
      <c r="Q74" s="1105">
        <f t="shared" si="22"/>
        <v>0</v>
      </c>
    </row>
    <row r="75" spans="1:17">
      <c r="A75" s="114"/>
      <c r="B75" s="114"/>
      <c r="E75" s="544"/>
      <c r="Q75" s="290"/>
    </row>
    <row r="76" spans="1:17" ht="13.8" thickBot="1">
      <c r="A76" s="111" t="s">
        <v>471</v>
      </c>
      <c r="B76" s="112"/>
      <c r="C76" s="112"/>
      <c r="D76" s="112"/>
      <c r="E76" s="111"/>
      <c r="F76" s="111"/>
      <c r="G76" s="111"/>
      <c r="H76" s="111"/>
      <c r="I76" s="111"/>
      <c r="J76" s="111"/>
      <c r="K76" s="111"/>
      <c r="L76" s="111"/>
      <c r="M76" s="111"/>
      <c r="N76" s="111"/>
      <c r="O76" s="111"/>
      <c r="P76" s="111"/>
      <c r="Q76" s="111"/>
    </row>
    <row r="77" spans="1:17" ht="26.4">
      <c r="A77" s="1166" t="s">
        <v>448</v>
      </c>
      <c r="B77" s="605" t="s">
        <v>449</v>
      </c>
      <c r="C77" s="528" t="s">
        <v>472</v>
      </c>
      <c r="D77" s="1086" t="s">
        <v>51</v>
      </c>
      <c r="E77" s="529">
        <v>0</v>
      </c>
      <c r="F77" s="529" t="s">
        <v>353</v>
      </c>
      <c r="G77" s="544"/>
      <c r="H77" s="544"/>
      <c r="I77" s="544"/>
      <c r="J77" s="530">
        <f t="shared" ref="J77:J82" si="26">G77*$J$5</f>
        <v>0</v>
      </c>
      <c r="K77" s="531">
        <f>H77*$L$5</f>
        <v>0</v>
      </c>
      <c r="L77" s="531">
        <f>I77*$M$5</f>
        <v>0</v>
      </c>
      <c r="M77" s="532">
        <f>SUM(J77:L77)</f>
        <v>0</v>
      </c>
      <c r="N77" s="545">
        <f t="shared" ref="N77:N82" si="27">($E77*J77)/10^3</f>
        <v>0</v>
      </c>
      <c r="O77" s="545">
        <f t="shared" ref="O77:O82" si="28">($E77*K77)/10^3</f>
        <v>0</v>
      </c>
      <c r="P77" s="545">
        <f t="shared" ref="P77:P82" si="29">($E77*L77)/10^3</f>
        <v>0</v>
      </c>
      <c r="Q77" s="1104">
        <f t="shared" ref="Q77:Q82" si="30">ROUND(SUM(N77:P77),2)</f>
        <v>0</v>
      </c>
    </row>
    <row r="78" spans="1:17" ht="26.4">
      <c r="A78" s="546" t="s">
        <v>177</v>
      </c>
      <c r="B78" s="607" t="s">
        <v>451</v>
      </c>
      <c r="C78" s="180" t="s">
        <v>472</v>
      </c>
      <c r="D78" s="611" t="s">
        <v>51</v>
      </c>
      <c r="E78" s="103">
        <v>0</v>
      </c>
      <c r="F78" s="103" t="s">
        <v>353</v>
      </c>
      <c r="J78" s="535">
        <f t="shared" si="26"/>
        <v>0</v>
      </c>
      <c r="K78" s="536">
        <f>H78*$L$5</f>
        <v>0</v>
      </c>
      <c r="L78" s="536">
        <f>I78*$M$5</f>
        <v>0</v>
      </c>
      <c r="M78" s="537">
        <f t="shared" ref="M78:M82" si="31">SUM(J78:L78)</f>
        <v>0</v>
      </c>
      <c r="N78" s="539">
        <f t="shared" si="27"/>
        <v>0</v>
      </c>
      <c r="O78" s="539">
        <f t="shared" si="28"/>
        <v>0</v>
      </c>
      <c r="P78" s="539">
        <f t="shared" si="29"/>
        <v>0</v>
      </c>
      <c r="Q78" s="540">
        <f t="shared" si="30"/>
        <v>0</v>
      </c>
    </row>
    <row r="79" spans="1:17" ht="26.4">
      <c r="A79" s="546" t="s">
        <v>179</v>
      </c>
      <c r="B79" s="607" t="s">
        <v>452</v>
      </c>
      <c r="C79" s="180" t="s">
        <v>472</v>
      </c>
      <c r="D79" s="611" t="s">
        <v>51</v>
      </c>
      <c r="E79" s="103">
        <v>0</v>
      </c>
      <c r="F79" s="103" t="s">
        <v>353</v>
      </c>
      <c r="J79" s="535">
        <f t="shared" si="26"/>
        <v>0</v>
      </c>
      <c r="K79" s="536">
        <f t="shared" ref="K79:K82" si="32">H79*$L$5</f>
        <v>0</v>
      </c>
      <c r="L79" s="536">
        <f t="shared" ref="L79:L81" si="33">I79*$M$5</f>
        <v>0</v>
      </c>
      <c r="M79" s="537">
        <f t="shared" si="31"/>
        <v>0</v>
      </c>
      <c r="N79" s="539">
        <f t="shared" si="27"/>
        <v>0</v>
      </c>
      <c r="O79" s="539">
        <f t="shared" si="28"/>
        <v>0</v>
      </c>
      <c r="P79" s="539">
        <f t="shared" si="29"/>
        <v>0</v>
      </c>
      <c r="Q79" s="540">
        <f t="shared" si="30"/>
        <v>0</v>
      </c>
    </row>
    <row r="80" spans="1:17" ht="26.4">
      <c r="A80" s="546" t="s">
        <v>470</v>
      </c>
      <c r="B80" s="607" t="s">
        <v>454</v>
      </c>
      <c r="C80" s="180" t="s">
        <v>472</v>
      </c>
      <c r="D80" s="611" t="s">
        <v>51</v>
      </c>
      <c r="E80" s="103">
        <v>0</v>
      </c>
      <c r="F80" s="103" t="s">
        <v>353</v>
      </c>
      <c r="J80" s="535">
        <f t="shared" si="26"/>
        <v>0</v>
      </c>
      <c r="K80" s="536">
        <f>H80*$L$5</f>
        <v>0</v>
      </c>
      <c r="L80" s="536">
        <f t="shared" si="33"/>
        <v>0</v>
      </c>
      <c r="M80" s="537">
        <f t="shared" si="31"/>
        <v>0</v>
      </c>
      <c r="N80" s="539">
        <f t="shared" si="27"/>
        <v>0</v>
      </c>
      <c r="O80" s="539">
        <f t="shared" si="28"/>
        <v>0</v>
      </c>
      <c r="P80" s="539">
        <f t="shared" si="29"/>
        <v>0</v>
      </c>
      <c r="Q80" s="540">
        <f t="shared" si="30"/>
        <v>0</v>
      </c>
    </row>
    <row r="81" spans="1:17" ht="26.4">
      <c r="A81" s="546" t="s">
        <v>184</v>
      </c>
      <c r="B81" s="607" t="s">
        <v>458</v>
      </c>
      <c r="C81" s="180" t="s">
        <v>472</v>
      </c>
      <c r="D81" s="611" t="s">
        <v>51</v>
      </c>
      <c r="E81" s="103">
        <v>0</v>
      </c>
      <c r="F81" s="103" t="s">
        <v>353</v>
      </c>
      <c r="J81" s="535">
        <f t="shared" si="26"/>
        <v>0</v>
      </c>
      <c r="K81" s="536">
        <f t="shared" si="32"/>
        <v>0</v>
      </c>
      <c r="L81" s="536">
        <f t="shared" si="33"/>
        <v>0</v>
      </c>
      <c r="M81" s="537">
        <f t="shared" si="31"/>
        <v>0</v>
      </c>
      <c r="N81" s="539">
        <f t="shared" si="27"/>
        <v>0</v>
      </c>
      <c r="O81" s="539">
        <f t="shared" si="28"/>
        <v>0</v>
      </c>
      <c r="P81" s="539">
        <f t="shared" si="29"/>
        <v>0</v>
      </c>
      <c r="Q81" s="540">
        <f t="shared" si="30"/>
        <v>0</v>
      </c>
    </row>
    <row r="82" spans="1:17" ht="27" thickBot="1">
      <c r="A82" s="920" t="s">
        <v>186</v>
      </c>
      <c r="B82" s="623" t="s">
        <v>459</v>
      </c>
      <c r="C82" s="621" t="s">
        <v>472</v>
      </c>
      <c r="D82" s="921" t="s">
        <v>51</v>
      </c>
      <c r="E82" s="622">
        <v>0</v>
      </c>
      <c r="F82" s="622" t="s">
        <v>353</v>
      </c>
      <c r="G82" s="629"/>
      <c r="H82" s="629"/>
      <c r="I82" s="629"/>
      <c r="J82" s="625">
        <f t="shared" si="26"/>
        <v>0</v>
      </c>
      <c r="K82" s="626">
        <f t="shared" si="32"/>
        <v>0</v>
      </c>
      <c r="L82" s="626">
        <f>I82*$M$5</f>
        <v>0</v>
      </c>
      <c r="M82" s="627">
        <f t="shared" si="31"/>
        <v>0</v>
      </c>
      <c r="N82" s="630">
        <f t="shared" si="27"/>
        <v>0</v>
      </c>
      <c r="O82" s="630">
        <f t="shared" si="28"/>
        <v>0</v>
      </c>
      <c r="P82" s="630">
        <f t="shared" si="29"/>
        <v>0</v>
      </c>
      <c r="Q82" s="1105">
        <f t="shared" si="30"/>
        <v>0</v>
      </c>
    </row>
    <row r="83" spans="1:17">
      <c r="A83" s="114"/>
      <c r="B83" s="114"/>
    </row>
    <row r="84" spans="1:17">
      <c r="A84" s="114"/>
      <c r="B84" s="114"/>
      <c r="D84" s="290"/>
      <c r="E84" s="734"/>
    </row>
    <row r="85" spans="1:17">
      <c r="A85" s="114"/>
      <c r="B85" s="114"/>
      <c r="C85" s="113"/>
      <c r="D85" s="1085"/>
      <c r="E85" s="290"/>
    </row>
    <row r="86" spans="1:17">
      <c r="D86" s="290"/>
      <c r="E86" s="290"/>
    </row>
    <row r="87" spans="1:17">
      <c r="D87" s="1482" t="s">
        <v>2434</v>
      </c>
      <c r="E87" s="2110" t="s">
        <v>2458</v>
      </c>
      <c r="F87" s="2110"/>
      <c r="G87" s="2110"/>
      <c r="H87" s="2110"/>
      <c r="I87" s="2110"/>
      <c r="J87" s="2110"/>
      <c r="K87" s="2110"/>
      <c r="L87" s="2110"/>
      <c r="M87" s="2110"/>
      <c r="N87" s="2111"/>
    </row>
    <row r="88" spans="1:17">
      <c r="D88" s="1768" t="s">
        <v>45</v>
      </c>
      <c r="E88" s="1769" t="s">
        <v>2453</v>
      </c>
      <c r="F88" s="1770"/>
      <c r="G88" s="1770"/>
      <c r="H88" s="1770"/>
      <c r="I88" s="1770"/>
      <c r="J88" s="1770"/>
      <c r="K88" s="1770"/>
      <c r="L88" s="1770"/>
      <c r="M88" s="1770"/>
      <c r="N88" s="1771"/>
    </row>
    <row r="89" spans="1:17">
      <c r="D89" s="1768" t="s">
        <v>51</v>
      </c>
      <c r="E89" s="1769" t="s">
        <v>2454</v>
      </c>
      <c r="F89" s="1770"/>
      <c r="G89" s="1770"/>
      <c r="H89" s="1770"/>
      <c r="I89" s="1770"/>
      <c r="J89" s="1770"/>
      <c r="K89" s="1770"/>
      <c r="L89" s="1770"/>
      <c r="M89" s="1770"/>
      <c r="N89" s="1771"/>
    </row>
    <row r="90" spans="1:17">
      <c r="D90" s="1768" t="s">
        <v>56</v>
      </c>
      <c r="E90" s="1769" t="s">
        <v>2455</v>
      </c>
      <c r="F90" s="1770"/>
      <c r="G90" s="1770"/>
      <c r="H90" s="1770"/>
      <c r="I90" s="1770"/>
      <c r="J90" s="1770"/>
      <c r="K90" s="1770"/>
      <c r="L90" s="1770"/>
      <c r="M90" s="1770"/>
      <c r="N90" s="1771"/>
    </row>
    <row r="91" spans="1:17">
      <c r="D91" s="1772" t="s">
        <v>61</v>
      </c>
      <c r="E91" s="1773" t="s">
        <v>2456</v>
      </c>
      <c r="F91" s="1774"/>
      <c r="G91" s="1774"/>
      <c r="H91" s="1774"/>
      <c r="I91" s="1774"/>
      <c r="J91" s="1774"/>
      <c r="K91" s="1774"/>
      <c r="L91" s="1774"/>
      <c r="M91" s="1774"/>
      <c r="N91" s="1775"/>
    </row>
    <row r="92" spans="1:17">
      <c r="D92" s="1263"/>
      <c r="E92" s="1263"/>
      <c r="F92" s="104"/>
      <c r="G92" s="104"/>
      <c r="H92" s="104"/>
      <c r="I92" s="104"/>
      <c r="J92" s="104"/>
      <c r="K92" s="104"/>
      <c r="L92" s="104"/>
      <c r="M92" s="104"/>
      <c r="N92" s="104"/>
    </row>
    <row r="93" spans="1:17">
      <c r="D93" s="1263" t="s">
        <v>2457</v>
      </c>
      <c r="E93" s="104"/>
      <c r="F93" s="104"/>
      <c r="G93" s="104"/>
      <c r="H93" s="104"/>
      <c r="I93" s="104"/>
      <c r="J93" s="104"/>
      <c r="K93" s="104"/>
      <c r="L93" s="104"/>
      <c r="M93" s="104"/>
      <c r="N93" s="104"/>
    </row>
  </sheetData>
  <autoFilter ref="C1:C89" xr:uid="{00000000-0009-0000-0000-000007000000}"/>
  <mergeCells count="26">
    <mergeCell ref="B61:B66"/>
    <mergeCell ref="B22:B32"/>
    <mergeCell ref="A61:A66"/>
    <mergeCell ref="D7:D8"/>
    <mergeCell ref="A7:B8"/>
    <mergeCell ref="B10:B13"/>
    <mergeCell ref="A10:A13"/>
    <mergeCell ref="B14:B21"/>
    <mergeCell ref="A14:A21"/>
    <mergeCell ref="B51:B59"/>
    <mergeCell ref="A33:A39"/>
    <mergeCell ref="A40:A48"/>
    <mergeCell ref="B33:B39"/>
    <mergeCell ref="B40:B48"/>
    <mergeCell ref="A51:A59"/>
    <mergeCell ref="A22:A32"/>
    <mergeCell ref="A49:A50"/>
    <mergeCell ref="B49:B50"/>
    <mergeCell ref="G5:I5"/>
    <mergeCell ref="F7:F8"/>
    <mergeCell ref="G7:I7"/>
    <mergeCell ref="E87:N87"/>
    <mergeCell ref="N7:Q7"/>
    <mergeCell ref="C7:C8"/>
    <mergeCell ref="E7:E8"/>
    <mergeCell ref="J7:M7"/>
  </mergeCells>
  <phoneticPr fontId="50" type="noConversion"/>
  <dataValidations count="1">
    <dataValidation type="list" allowBlank="1" showInputMessage="1" showErrorMessage="1" sqref="D10:D66" xr:uid="{24314BD8-3E12-4450-BC21-2BD507A58953}">
      <formula1>$T$11:$T$14</formula1>
    </dataValidation>
  </dataValidations>
  <printOptions horizontalCentered="1"/>
  <pageMargins left="0" right="0" top="0" bottom="0" header="0" footer="0"/>
  <pageSetup paperSize="9" scale="80" orientation="landscape" r:id="rId1"/>
  <rowBreaks count="1" manualBreakCount="1">
    <brk id="66"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Q72"/>
  <sheetViews>
    <sheetView zoomScale="70" zoomScaleNormal="70" zoomScaleSheetLayoutView="85" workbookViewId="0">
      <pane xSplit="6" ySplit="7" topLeftCell="G8" activePane="bottomRight" state="frozen"/>
      <selection activeCell="E42" sqref="E42"/>
      <selection pane="topRight" activeCell="E42" sqref="E42"/>
      <selection pane="bottomLeft" activeCell="E42" sqref="E42"/>
      <selection pane="bottomRight" activeCell="B9" sqref="B9:B18"/>
    </sheetView>
  </sheetViews>
  <sheetFormatPr defaultColWidth="8.6640625" defaultRowHeight="13.2"/>
  <cols>
    <col min="1" max="1" width="6.44140625" style="99" customWidth="1"/>
    <col min="2" max="2" width="50.44140625" style="99" customWidth="1"/>
    <col min="3" max="3" width="30.44140625" style="99" customWidth="1"/>
    <col min="4" max="4" width="15.44140625" style="99" customWidth="1"/>
    <col min="5" max="5" width="16.44140625" style="103" customWidth="1"/>
    <col min="6" max="13" width="10.44140625" style="99" customWidth="1"/>
    <col min="14" max="14" width="12.44140625" style="99" customWidth="1"/>
    <col min="15" max="16" width="10.44140625" style="99" customWidth="1"/>
    <col min="17" max="17" width="12.44140625" style="99" customWidth="1"/>
    <col min="18" max="16384" width="8.6640625" style="99"/>
  </cols>
  <sheetData>
    <row r="1" spans="1:17" s="123" customFormat="1">
      <c r="A1" s="122" t="s">
        <v>473</v>
      </c>
      <c r="B1" s="122"/>
      <c r="C1" s="1399"/>
      <c r="D1" s="1399"/>
      <c r="E1" s="1401"/>
      <c r="F1" s="1399"/>
      <c r="G1" s="1399"/>
      <c r="H1" s="122"/>
      <c r="I1" s="122"/>
      <c r="J1" s="122"/>
      <c r="K1" s="122"/>
      <c r="L1" s="122"/>
      <c r="M1" s="122"/>
    </row>
    <row r="3" spans="1:17">
      <c r="A3" s="120" t="s">
        <v>254</v>
      </c>
      <c r="B3" s="120">
        <f>'City information'!$C$4</f>
        <v>0</v>
      </c>
      <c r="C3" s="1400"/>
      <c r="D3" s="1400"/>
      <c r="E3" s="1402"/>
      <c r="F3" s="1400"/>
      <c r="G3" s="1400"/>
      <c r="H3" s="120"/>
      <c r="I3" s="120"/>
      <c r="J3" s="120"/>
      <c r="K3" s="120"/>
      <c r="L3" s="120"/>
      <c r="M3" s="120"/>
      <c r="N3" s="120"/>
      <c r="O3" s="120"/>
      <c r="P3" s="120"/>
      <c r="Q3" s="120"/>
    </row>
    <row r="4" spans="1:17">
      <c r="A4" s="120" t="s">
        <v>140</v>
      </c>
      <c r="B4" s="120">
        <f>'City information'!$C$5</f>
        <v>2562</v>
      </c>
      <c r="C4" s="1400"/>
      <c r="D4" s="1400"/>
      <c r="E4" s="1402"/>
      <c r="F4" s="1400"/>
      <c r="G4" s="1400"/>
      <c r="H4" s="120"/>
      <c r="I4" s="120"/>
      <c r="J4" s="120"/>
      <c r="K4" s="120"/>
      <c r="L4" s="120"/>
      <c r="M4" s="120"/>
      <c r="N4" s="120"/>
      <c r="O4" s="120"/>
      <c r="P4" s="120"/>
      <c r="Q4" s="120"/>
    </row>
    <row r="5" spans="1:17">
      <c r="G5" s="2117" t="s">
        <v>438</v>
      </c>
      <c r="H5" s="2117"/>
      <c r="I5" s="2117"/>
      <c r="J5" s="1722">
        <f>GPC!$F$84</f>
        <v>1</v>
      </c>
      <c r="K5" s="1722">
        <f>GPC!$F$85</f>
        <v>28</v>
      </c>
      <c r="L5" s="856">
        <f>GPC!$F$86</f>
        <v>30</v>
      </c>
      <c r="M5" s="1722">
        <f>GPC!$F$87</f>
        <v>265</v>
      </c>
    </row>
    <row r="6" spans="1:17" ht="14.4">
      <c r="A6" s="2113" t="s">
        <v>439</v>
      </c>
      <c r="B6" s="2113"/>
      <c r="C6" s="2113" t="s">
        <v>440</v>
      </c>
      <c r="D6" s="2113" t="s">
        <v>2434</v>
      </c>
      <c r="E6" s="2113" t="s">
        <v>441</v>
      </c>
      <c r="F6" s="2113" t="s">
        <v>258</v>
      </c>
      <c r="G6" s="2114" t="s">
        <v>442</v>
      </c>
      <c r="H6" s="2114"/>
      <c r="I6" s="2114"/>
      <c r="J6" s="2114" t="s">
        <v>2473</v>
      </c>
      <c r="K6" s="2114"/>
      <c r="L6" s="2114"/>
      <c r="M6" s="2114"/>
      <c r="N6" s="2112" t="s">
        <v>2474</v>
      </c>
      <c r="O6" s="2112"/>
      <c r="P6" s="2112"/>
      <c r="Q6" s="2112"/>
    </row>
    <row r="7" spans="1:17" ht="14.4">
      <c r="A7" s="2113"/>
      <c r="B7" s="2113"/>
      <c r="C7" s="2113"/>
      <c r="D7" s="2113"/>
      <c r="E7" s="2113"/>
      <c r="F7" s="2113"/>
      <c r="G7" s="100" t="s">
        <v>443</v>
      </c>
      <c r="H7" s="100" t="s">
        <v>444</v>
      </c>
      <c r="I7" s="100" t="s">
        <v>445</v>
      </c>
      <c r="J7" s="101" t="s">
        <v>443</v>
      </c>
      <c r="K7" s="101" t="s">
        <v>444</v>
      </c>
      <c r="L7" s="101" t="s">
        <v>445</v>
      </c>
      <c r="M7" s="101" t="s">
        <v>446</v>
      </c>
      <c r="N7" s="102" t="s">
        <v>443</v>
      </c>
      <c r="O7" s="102" t="s">
        <v>444</v>
      </c>
      <c r="P7" s="102" t="s">
        <v>445</v>
      </c>
      <c r="Q7" s="102" t="s">
        <v>446</v>
      </c>
    </row>
    <row r="8" spans="1:17" ht="13.8" thickBot="1">
      <c r="A8" s="111" t="s">
        <v>447</v>
      </c>
      <c r="B8" s="112"/>
      <c r="C8" s="112"/>
      <c r="D8" s="1767"/>
      <c r="E8" s="686"/>
      <c r="F8" s="111"/>
      <c r="G8" s="111"/>
      <c r="H8" s="111"/>
      <c r="I8" s="111"/>
      <c r="J8" s="111"/>
      <c r="K8" s="111"/>
      <c r="L8" s="111"/>
      <c r="M8" s="111"/>
      <c r="N8" s="111"/>
      <c r="O8" s="111"/>
      <c r="P8" s="111"/>
      <c r="Q8" s="111"/>
    </row>
    <row r="9" spans="1:17">
      <c r="A9" s="2122" t="s">
        <v>474</v>
      </c>
      <c r="B9" s="2126" t="s">
        <v>475</v>
      </c>
      <c r="C9" s="544" t="s">
        <v>476</v>
      </c>
      <c r="D9" s="1677"/>
      <c r="E9" s="711">
        <f>'Transportation_Input DATA'!I10</f>
        <v>0</v>
      </c>
      <c r="F9" s="548" t="s">
        <v>380</v>
      </c>
      <c r="G9" s="530">
        <f>('Conversion factor'!$E$16*'Conversion factor'!$I$17)*EF_Transportation!$C$9</f>
        <v>2.6987220000000001</v>
      </c>
      <c r="H9" s="531">
        <f>('Conversion factor'!$E$16*'Conversion factor'!$I$17)*EF_Transportation!$C$26</f>
        <v>1.4203800000000001E-4</v>
      </c>
      <c r="I9" s="531">
        <f>('Conversion factor'!$E$16*'Conversion factor'!$I$17)*EF_Transportation!$F$26</f>
        <v>1.4203800000000001E-4</v>
      </c>
      <c r="J9" s="530">
        <f>G9*$J$5</f>
        <v>2.6987220000000001</v>
      </c>
      <c r="K9" s="1629">
        <f>H9*$L$5</f>
        <v>4.2611400000000001E-3</v>
      </c>
      <c r="L9" s="530">
        <f t="shared" ref="L9:L30" si="0">I9*$M$5</f>
        <v>3.7640070000000005E-2</v>
      </c>
      <c r="M9" s="549">
        <f t="shared" ref="M9:M17" si="1">SUM(J9:L9)</f>
        <v>2.7406232100000003</v>
      </c>
      <c r="N9" s="533">
        <f t="shared" ref="N9:N17" si="2">($E9*J9)/10^3</f>
        <v>0</v>
      </c>
      <c r="O9" s="533">
        <f t="shared" ref="O9:O17" si="3">($E9*K9)/10^3</f>
        <v>0</v>
      </c>
      <c r="P9" s="533">
        <f t="shared" ref="P9:P17" si="4">($E9*L9)/10^3</f>
        <v>0</v>
      </c>
      <c r="Q9" s="1630">
        <f>ROUND(SUM(N9:P9),2)</f>
        <v>0</v>
      </c>
    </row>
    <row r="10" spans="1:17">
      <c r="A10" s="2115"/>
      <c r="B10" s="2124"/>
      <c r="C10" s="99" t="s">
        <v>381</v>
      </c>
      <c r="D10" s="1677"/>
      <c r="E10" s="534">
        <f>'Transportation_Input DATA'!I11</f>
        <v>0</v>
      </c>
      <c r="F10" s="104" t="s">
        <v>380</v>
      </c>
      <c r="G10" s="535">
        <f>('Conversion factor'!$E$16*'Conversion factor'!$I$17)*EF_Transportation!$C$9</f>
        <v>2.6987220000000001</v>
      </c>
      <c r="H10" s="536">
        <f>('Conversion factor'!$E$16*'Conversion factor'!$I$17)*EF_Transportation!$C$26</f>
        <v>1.4203800000000001E-4</v>
      </c>
      <c r="I10" s="536">
        <f>('Conversion factor'!$E$16*'Conversion factor'!$I$17)*EF_Transportation!$F$26</f>
        <v>1.4203800000000001E-4</v>
      </c>
      <c r="J10" s="535">
        <f>G10*$J$5</f>
        <v>2.6987220000000001</v>
      </c>
      <c r="K10" s="535">
        <f t="shared" ref="K10:K30" si="5">H10*$L$5</f>
        <v>4.2611400000000001E-3</v>
      </c>
      <c r="L10" s="535">
        <f t="shared" si="0"/>
        <v>3.7640070000000005E-2</v>
      </c>
      <c r="M10" s="107">
        <f t="shared" si="1"/>
        <v>2.7406232100000003</v>
      </c>
      <c r="N10" s="538">
        <f t="shared" si="2"/>
        <v>0</v>
      </c>
      <c r="O10" s="538">
        <f t="shared" si="3"/>
        <v>0</v>
      </c>
      <c r="P10" s="538">
        <f t="shared" si="4"/>
        <v>0</v>
      </c>
      <c r="Q10" s="1631">
        <f>ROUND(SUM(N10:P10),2)</f>
        <v>0</v>
      </c>
    </row>
    <row r="11" spans="1:17">
      <c r="A11" s="2115"/>
      <c r="B11" s="2124"/>
      <c r="C11" s="99" t="s">
        <v>382</v>
      </c>
      <c r="D11" s="1677"/>
      <c r="E11" s="534">
        <f>'Transportation_Input DATA'!I12</f>
        <v>0</v>
      </c>
      <c r="F11" s="104" t="s">
        <v>380</v>
      </c>
      <c r="G11" s="535">
        <f>$G$10*0.9</f>
        <v>2.4288498000000001</v>
      </c>
      <c r="H11" s="536">
        <f>$H$10</f>
        <v>1.4203800000000001E-4</v>
      </c>
      <c r="I11" s="536">
        <f>$I$10</f>
        <v>1.4203800000000001E-4</v>
      </c>
      <c r="J11" s="535">
        <f>G11*$J$5</f>
        <v>2.4288498000000001</v>
      </c>
      <c r="K11" s="535">
        <f t="shared" si="5"/>
        <v>4.2611400000000001E-3</v>
      </c>
      <c r="L11" s="535">
        <f t="shared" si="0"/>
        <v>3.7640070000000005E-2</v>
      </c>
      <c r="M11" s="107">
        <f t="shared" si="1"/>
        <v>2.4707510100000003</v>
      </c>
      <c r="N11" s="538">
        <f t="shared" si="2"/>
        <v>0</v>
      </c>
      <c r="O11" s="538">
        <f t="shared" si="3"/>
        <v>0</v>
      </c>
      <c r="P11" s="538">
        <f t="shared" si="4"/>
        <v>0</v>
      </c>
      <c r="Q11" s="1631">
        <f t="shared" ref="Q11:Q30" si="6">ROUND(SUM(N11:P11),2)</f>
        <v>0</v>
      </c>
    </row>
    <row r="12" spans="1:17">
      <c r="A12" s="2115"/>
      <c r="B12" s="2124"/>
      <c r="C12" s="99" t="s">
        <v>383</v>
      </c>
      <c r="D12" s="1677"/>
      <c r="E12" s="534">
        <f>'Transportation_Input DATA'!I13</f>
        <v>0</v>
      </c>
      <c r="F12" s="104" t="s">
        <v>380</v>
      </c>
      <c r="G12" s="535">
        <f>$G$10*0.8</f>
        <v>2.1589776000000001</v>
      </c>
      <c r="H12" s="536">
        <f>$H$10</f>
        <v>1.4203800000000001E-4</v>
      </c>
      <c r="I12" s="536">
        <f>$I$10</f>
        <v>1.4203800000000001E-4</v>
      </c>
      <c r="J12" s="1845">
        <f t="shared" ref="J12:J30" si="7">G12*$J$5</f>
        <v>2.1589776000000001</v>
      </c>
      <c r="K12" s="1845">
        <f>H12*$L$5</f>
        <v>4.2611400000000001E-3</v>
      </c>
      <c r="L12" s="1845">
        <f>I12*$M$5</f>
        <v>3.7640070000000005E-2</v>
      </c>
      <c r="M12" s="1851">
        <f t="shared" si="1"/>
        <v>2.2008788100000003</v>
      </c>
      <c r="N12" s="538">
        <f t="shared" si="2"/>
        <v>0</v>
      </c>
      <c r="O12" s="538">
        <f t="shared" si="3"/>
        <v>0</v>
      </c>
      <c r="P12" s="538">
        <f t="shared" si="4"/>
        <v>0</v>
      </c>
      <c r="Q12" s="1631">
        <f t="shared" si="6"/>
        <v>0</v>
      </c>
    </row>
    <row r="13" spans="1:17">
      <c r="A13" s="2115"/>
      <c r="B13" s="2124"/>
      <c r="C13" s="99" t="s">
        <v>384</v>
      </c>
      <c r="D13" s="1677"/>
      <c r="E13" s="534">
        <f>'Transportation_Input DATA'!I14</f>
        <v>0</v>
      </c>
      <c r="F13" s="104" t="s">
        <v>380</v>
      </c>
      <c r="G13" s="535">
        <f>('Conversion factor'!$E$13*'Conversion factor'!$I$17)*EF_Transportation!$C$8</f>
        <v>2.1815639999999998</v>
      </c>
      <c r="H13" s="536">
        <f>('Conversion factor'!$E$13*'Conversion factor'!$I$17)*EF_Transportation!$C$23</f>
        <v>1.0388399999999999E-3</v>
      </c>
      <c r="I13" s="536">
        <f>('Conversion factor'!$E$13*'Conversion factor'!$I$17)*EF_Transportation!$F$23</f>
        <v>1.0073599999999999E-4</v>
      </c>
      <c r="J13" s="1845">
        <f t="shared" si="7"/>
        <v>2.1815639999999998</v>
      </c>
      <c r="K13" s="1845">
        <f t="shared" si="5"/>
        <v>3.1165199999999997E-2</v>
      </c>
      <c r="L13" s="1845">
        <f t="shared" si="0"/>
        <v>2.6695039999999996E-2</v>
      </c>
      <c r="M13" s="1851">
        <f t="shared" si="1"/>
        <v>2.2394242399999995</v>
      </c>
      <c r="N13" s="538">
        <f t="shared" si="2"/>
        <v>0</v>
      </c>
      <c r="O13" s="538">
        <f t="shared" si="3"/>
        <v>0</v>
      </c>
      <c r="P13" s="538">
        <f t="shared" si="4"/>
        <v>0</v>
      </c>
      <c r="Q13" s="1631">
        <f t="shared" si="6"/>
        <v>0</v>
      </c>
    </row>
    <row r="14" spans="1:17" s="1397" customFormat="1">
      <c r="A14" s="2115"/>
      <c r="B14" s="2124"/>
      <c r="C14" s="99" t="s">
        <v>386</v>
      </c>
      <c r="D14" s="1677"/>
      <c r="E14" s="534">
        <f>'Transportation_Input DATA'!I16</f>
        <v>0</v>
      </c>
      <c r="F14" s="104" t="s">
        <v>380</v>
      </c>
      <c r="G14" s="535">
        <f>$G$13*0.15</f>
        <v>0.32723459999999999</v>
      </c>
      <c r="H14" s="536">
        <f>$H$13</f>
        <v>1.0388399999999999E-3</v>
      </c>
      <c r="I14" s="536">
        <f>$I$13</f>
        <v>1.0073599999999999E-4</v>
      </c>
      <c r="J14" s="1845">
        <f t="shared" si="7"/>
        <v>0.32723459999999999</v>
      </c>
      <c r="K14" s="1845">
        <f t="shared" si="5"/>
        <v>3.1165199999999997E-2</v>
      </c>
      <c r="L14" s="1845">
        <f t="shared" si="0"/>
        <v>2.6695039999999996E-2</v>
      </c>
      <c r="M14" s="1851">
        <f t="shared" si="1"/>
        <v>0.38509483999999999</v>
      </c>
      <c r="N14" s="538">
        <f t="shared" si="2"/>
        <v>0</v>
      </c>
      <c r="O14" s="538">
        <f t="shared" si="3"/>
        <v>0</v>
      </c>
      <c r="P14" s="538">
        <f t="shared" si="4"/>
        <v>0</v>
      </c>
      <c r="Q14" s="1632">
        <f t="shared" si="6"/>
        <v>0</v>
      </c>
    </row>
    <row r="15" spans="1:17" s="1397" customFormat="1">
      <c r="A15" s="2115"/>
      <c r="B15" s="2124"/>
      <c r="C15" s="99" t="s">
        <v>387</v>
      </c>
      <c r="D15" s="1677"/>
      <c r="E15" s="534">
        <f>'Transportation_Input DATA'!I17</f>
        <v>0</v>
      </c>
      <c r="F15" s="104" t="s">
        <v>380</v>
      </c>
      <c r="G15" s="535">
        <f>$G$13*0.8</f>
        <v>1.7452512</v>
      </c>
      <c r="H15" s="536">
        <f>$H$13</f>
        <v>1.0388399999999999E-3</v>
      </c>
      <c r="I15" s="536">
        <f>$I$13</f>
        <v>1.0073599999999999E-4</v>
      </c>
      <c r="J15" s="1845">
        <f t="shared" si="7"/>
        <v>1.7452512</v>
      </c>
      <c r="K15" s="1845">
        <f t="shared" si="5"/>
        <v>3.1165199999999997E-2</v>
      </c>
      <c r="L15" s="1845">
        <f t="shared" si="0"/>
        <v>2.6695039999999996E-2</v>
      </c>
      <c r="M15" s="1851">
        <f t="shared" si="1"/>
        <v>1.8031114399999999</v>
      </c>
      <c r="N15" s="538">
        <f t="shared" si="2"/>
        <v>0</v>
      </c>
      <c r="O15" s="538">
        <f t="shared" si="3"/>
        <v>0</v>
      </c>
      <c r="P15" s="538">
        <f t="shared" si="4"/>
        <v>0</v>
      </c>
      <c r="Q15" s="1632">
        <f t="shared" si="6"/>
        <v>0</v>
      </c>
    </row>
    <row r="16" spans="1:17">
      <c r="A16" s="2115"/>
      <c r="B16" s="2124"/>
      <c r="C16" s="99" t="s">
        <v>477</v>
      </c>
      <c r="D16" s="1677"/>
      <c r="E16" s="534">
        <f>'Transportation_Input DATA'!I15</f>
        <v>0</v>
      </c>
      <c r="F16" s="104" t="s">
        <v>380</v>
      </c>
      <c r="G16" s="535">
        <f>$G$13*0.9</f>
        <v>1.9634075999999998</v>
      </c>
      <c r="H16" s="536">
        <f>$H$13</f>
        <v>1.0388399999999999E-3</v>
      </c>
      <c r="I16" s="536">
        <f>$I$13</f>
        <v>1.0073599999999999E-4</v>
      </c>
      <c r="J16" s="1845">
        <f t="shared" si="7"/>
        <v>1.9634075999999998</v>
      </c>
      <c r="K16" s="1845">
        <f t="shared" si="5"/>
        <v>3.1165199999999997E-2</v>
      </c>
      <c r="L16" s="1845">
        <f t="shared" si="0"/>
        <v>2.6695039999999996E-2</v>
      </c>
      <c r="M16" s="1851">
        <f t="shared" si="1"/>
        <v>2.0212678399999997</v>
      </c>
      <c r="N16" s="538">
        <f t="shared" si="2"/>
        <v>0</v>
      </c>
      <c r="O16" s="538">
        <f t="shared" si="3"/>
        <v>0</v>
      </c>
      <c r="P16" s="538">
        <f t="shared" si="4"/>
        <v>0</v>
      </c>
      <c r="Q16" s="1632">
        <f t="shared" si="6"/>
        <v>0</v>
      </c>
    </row>
    <row r="17" spans="1:17">
      <c r="A17" s="2115"/>
      <c r="B17" s="2124"/>
      <c r="C17" s="99" t="s">
        <v>388</v>
      </c>
      <c r="D17" s="1677"/>
      <c r="E17" s="534">
        <f>'Transportation_Input DATA'!I18/'Conversion factor'!$I$14</f>
        <v>0</v>
      </c>
      <c r="F17" s="104" t="s">
        <v>380</v>
      </c>
      <c r="G17" s="535">
        <f>('Conversion factor'!$E$12*'Conversion factor'!$I$17)*EF_Transportation!$C$10</f>
        <v>1.6797219999999999</v>
      </c>
      <c r="H17" s="536">
        <f>('Conversion factor'!$E$12*'Conversion factor'!$I$17)*EF_Transportation!$C$28</f>
        <v>1.65044E-3</v>
      </c>
      <c r="I17" s="536">
        <f>('Conversion factor'!$E$12*'Conversion factor'!$I$17)*EF_Transportation!$F$28</f>
        <v>5.3240000000000002E-6</v>
      </c>
      <c r="J17" s="535">
        <f t="shared" si="7"/>
        <v>1.6797219999999999</v>
      </c>
      <c r="K17" s="535">
        <f>H17*$L$5</f>
        <v>4.95132E-2</v>
      </c>
      <c r="L17" s="535">
        <f t="shared" si="0"/>
        <v>1.4108600000000001E-3</v>
      </c>
      <c r="M17" s="107">
        <f t="shared" si="1"/>
        <v>1.73064606</v>
      </c>
      <c r="N17" s="538">
        <f t="shared" si="2"/>
        <v>0</v>
      </c>
      <c r="O17" s="538">
        <f t="shared" si="3"/>
        <v>0</v>
      </c>
      <c r="P17" s="538">
        <f t="shared" si="4"/>
        <v>0</v>
      </c>
      <c r="Q17" s="1632">
        <f t="shared" si="6"/>
        <v>0</v>
      </c>
    </row>
    <row r="18" spans="1:17">
      <c r="A18" s="2115"/>
      <c r="B18" s="2124"/>
      <c r="C18" s="99" t="s">
        <v>389</v>
      </c>
      <c r="D18" s="1677"/>
      <c r="E18" s="534">
        <f>'Transportation_Input DATA'!I19</f>
        <v>0</v>
      </c>
      <c r="F18" s="103" t="s">
        <v>356</v>
      </c>
      <c r="G18" s="535">
        <f>('Conversion factor'!$E$10*'Conversion factor'!$I$17)*EF_Transportation!$C$13</f>
        <v>5.7222000000000002E-2</v>
      </c>
      <c r="H18" s="536">
        <f>('Conversion factor'!$E$10*'Conversion factor'!$I$17)*EF_Transportation!$C$27</f>
        <v>9.3839999999999996E-5</v>
      </c>
      <c r="I18" s="536">
        <f>('Conversion factor'!$E$10*'Conversion factor'!$I$17)*EF_Transportation!$F$27</f>
        <v>3.0599999999999999E-6</v>
      </c>
      <c r="J18" s="535">
        <f t="shared" si="7"/>
        <v>5.7222000000000002E-2</v>
      </c>
      <c r="K18" s="535">
        <f t="shared" si="5"/>
        <v>2.8151999999999999E-3</v>
      </c>
      <c r="L18" s="535">
        <f t="shared" si="0"/>
        <v>8.1090000000000003E-4</v>
      </c>
      <c r="M18" s="107">
        <f t="shared" ref="M18:M30" si="8">SUM(J18:L18)</f>
        <v>6.0848100000000002E-2</v>
      </c>
      <c r="N18" s="538">
        <f t="shared" ref="N18:N30" si="9">($E18*J18)/10^3</f>
        <v>0</v>
      </c>
      <c r="O18" s="538">
        <f t="shared" ref="O18:O30" si="10">($E18*K18)/10^3</f>
        <v>0</v>
      </c>
      <c r="P18" s="538">
        <f t="shared" ref="P18:P30" si="11">($E18*L18)/10^3</f>
        <v>0</v>
      </c>
      <c r="Q18" s="1632">
        <f t="shared" si="6"/>
        <v>0</v>
      </c>
    </row>
    <row r="19" spans="1:17">
      <c r="A19" s="2115" t="s">
        <v>195</v>
      </c>
      <c r="B19" s="2124" t="s">
        <v>478</v>
      </c>
      <c r="C19" s="99" t="s">
        <v>381</v>
      </c>
      <c r="D19" s="1677"/>
      <c r="E19" s="534">
        <f>'Transportation_Input DATA'!H53</f>
        <v>0</v>
      </c>
      <c r="F19" s="104" t="s">
        <v>380</v>
      </c>
      <c r="G19" s="535">
        <f>('Conversion factor'!$E$16*'Conversion factor'!$I$17)*EF_Transportation!$B$37</f>
        <v>2.6987220000000001</v>
      </c>
      <c r="H19" s="536">
        <f>('Conversion factor'!$E$16*'Conversion factor'!$I$17)*EF_Transportation!$B$38</f>
        <v>1.5114300000000001E-4</v>
      </c>
      <c r="I19" s="536">
        <f>('Conversion factor'!$E$16*'Conversion factor'!$I$17)*EF_Transportation!$B$39</f>
        <v>1.0416120000000001E-3</v>
      </c>
      <c r="J19" s="535">
        <f t="shared" si="7"/>
        <v>2.6987220000000001</v>
      </c>
      <c r="K19" s="535">
        <f t="shared" si="5"/>
        <v>4.5342900000000007E-3</v>
      </c>
      <c r="L19" s="535">
        <f t="shared" si="0"/>
        <v>0.27602718000000004</v>
      </c>
      <c r="M19" s="107">
        <f t="shared" si="8"/>
        <v>2.9792834700000004</v>
      </c>
      <c r="N19" s="538">
        <f t="shared" si="9"/>
        <v>0</v>
      </c>
      <c r="O19" s="538">
        <f t="shared" si="10"/>
        <v>0</v>
      </c>
      <c r="P19" s="538">
        <f t="shared" si="11"/>
        <v>0</v>
      </c>
      <c r="Q19" s="1631">
        <f t="shared" si="6"/>
        <v>0</v>
      </c>
    </row>
    <row r="20" spans="1:17">
      <c r="A20" s="2115"/>
      <c r="B20" s="2124"/>
      <c r="C20" s="180" t="s">
        <v>479</v>
      </c>
      <c r="D20" s="1677"/>
      <c r="E20" s="534">
        <v>0</v>
      </c>
      <c r="F20" s="104" t="s">
        <v>380</v>
      </c>
      <c r="G20" s="535">
        <f>('Conversion factor'!$E$17*'Conversion factor'!$I$17)*EF_Transportation!$B$37</f>
        <v>2.9469569999999998</v>
      </c>
      <c r="H20" s="536">
        <f>('Conversion factor'!$E$17*'Conversion factor'!$I$17)*EF_Transportation!$B$38</f>
        <v>1.6504550000000001E-4</v>
      </c>
      <c r="I20" s="536">
        <f>('Conversion factor'!$E$16*'Conversion factor'!$I$17)*EF_Transportation!$B$39</f>
        <v>1.0416120000000001E-3</v>
      </c>
      <c r="J20" s="535">
        <f t="shared" si="7"/>
        <v>2.9469569999999998</v>
      </c>
      <c r="K20" s="535">
        <f t="shared" si="5"/>
        <v>4.9513650000000001E-3</v>
      </c>
      <c r="L20" s="535">
        <f t="shared" si="0"/>
        <v>0.27602718000000004</v>
      </c>
      <c r="M20" s="107">
        <f t="shared" si="8"/>
        <v>3.2279355450000002</v>
      </c>
      <c r="N20" s="538">
        <f t="shared" si="9"/>
        <v>0</v>
      </c>
      <c r="O20" s="538">
        <f t="shared" si="10"/>
        <v>0</v>
      </c>
      <c r="P20" s="538">
        <f t="shared" si="11"/>
        <v>0</v>
      </c>
      <c r="Q20" s="1631">
        <f t="shared" si="6"/>
        <v>0</v>
      </c>
    </row>
    <row r="21" spans="1:17">
      <c r="A21" s="2115" t="s">
        <v>197</v>
      </c>
      <c r="B21" s="2124" t="s">
        <v>480</v>
      </c>
      <c r="C21" s="99" t="s">
        <v>476</v>
      </c>
      <c r="D21" s="1677"/>
      <c r="E21" s="534">
        <f>'Energy_Input DATA'!F49</f>
        <v>0</v>
      </c>
      <c r="F21" s="104" t="s">
        <v>380</v>
      </c>
      <c r="G21" s="535">
        <f>('Conversion factor'!$E$16*'Conversion factor'!$I$17)*EF_Transportation!$C$48</f>
        <v>2.6987220000000001</v>
      </c>
      <c r="H21" s="536">
        <f>('Conversion factor'!$E$16*'Conversion factor'!$I$17)*EF_Transportation!$C$60</f>
        <v>2.5494E-4</v>
      </c>
      <c r="I21" s="536">
        <f>('Conversion factor'!$E$16*'Conversion factor'!$I$17)*EF_Transportation!$D$60</f>
        <v>7.2840000000000001E-5</v>
      </c>
      <c r="J21" s="535">
        <f>G21*$J$5</f>
        <v>2.6987220000000001</v>
      </c>
      <c r="K21" s="535">
        <f t="shared" si="5"/>
        <v>7.6482E-3</v>
      </c>
      <c r="L21" s="535">
        <f t="shared" si="0"/>
        <v>1.93026E-2</v>
      </c>
      <c r="M21" s="107">
        <f t="shared" si="8"/>
        <v>2.7256728000000003</v>
      </c>
      <c r="N21" s="538">
        <f t="shared" si="9"/>
        <v>0</v>
      </c>
      <c r="O21" s="538">
        <f t="shared" si="10"/>
        <v>0</v>
      </c>
      <c r="P21" s="538">
        <f t="shared" si="11"/>
        <v>0</v>
      </c>
      <c r="Q21" s="1631">
        <f>ROUND(SUM(N21:P21),2)</f>
        <v>0</v>
      </c>
    </row>
    <row r="22" spans="1:17">
      <c r="A22" s="2115"/>
      <c r="B22" s="2124"/>
      <c r="C22" s="99" t="s">
        <v>381</v>
      </c>
      <c r="D22" s="1677"/>
      <c r="E22" s="534">
        <f>'Transportation_Input DATA'!H11</f>
        <v>0</v>
      </c>
      <c r="F22" s="104" t="s">
        <v>380</v>
      </c>
      <c r="G22" s="535">
        <f>('Conversion factor'!$E$16*'Conversion factor'!$I$17)*EF_Transportation!$C$48</f>
        <v>2.6987220000000001</v>
      </c>
      <c r="H22" s="536">
        <f>('Conversion factor'!$E$16*'Conversion factor'!$I$17)*EF_Transportation!$C$60</f>
        <v>2.5494E-4</v>
      </c>
      <c r="I22" s="536">
        <f>('Conversion factor'!$E$16*'Conversion factor'!$I$17)*EF_Transportation!$D$60</f>
        <v>7.2840000000000001E-5</v>
      </c>
      <c r="J22" s="535">
        <f t="shared" si="7"/>
        <v>2.6987220000000001</v>
      </c>
      <c r="K22" s="535">
        <f t="shared" si="5"/>
        <v>7.6482E-3</v>
      </c>
      <c r="L22" s="535">
        <f t="shared" si="0"/>
        <v>1.93026E-2</v>
      </c>
      <c r="M22" s="107">
        <f t="shared" si="8"/>
        <v>2.7256728000000003</v>
      </c>
      <c r="N22" s="538">
        <f t="shared" si="9"/>
        <v>0</v>
      </c>
      <c r="O22" s="538">
        <f t="shared" si="10"/>
        <v>0</v>
      </c>
      <c r="P22" s="538">
        <f t="shared" si="11"/>
        <v>0</v>
      </c>
      <c r="Q22" s="1631">
        <f t="shared" si="6"/>
        <v>0</v>
      </c>
    </row>
    <row r="23" spans="1:17">
      <c r="A23" s="2115"/>
      <c r="B23" s="2124"/>
      <c r="C23" s="180" t="s">
        <v>479</v>
      </c>
      <c r="D23" s="1677"/>
      <c r="E23" s="534">
        <v>0</v>
      </c>
      <c r="F23" s="104" t="s">
        <v>380</v>
      </c>
      <c r="G23" s="535">
        <f>('Conversion factor'!$E$17*'Conversion factor'!$I$17)*EF_Transportation!$C$49</f>
        <v>3.078198</v>
      </c>
      <c r="H23" s="536">
        <f>('Conversion factor'!$E$17*'Conversion factor'!$I$17)*EF_Transportation!$C$60</f>
        <v>2.7839E-4</v>
      </c>
      <c r="I23" s="536">
        <f>('Conversion factor'!$E$17*'Conversion factor'!$I$17)*EF_Transportation!$D$60</f>
        <v>7.9540000000000001E-5</v>
      </c>
      <c r="J23" s="535">
        <f t="shared" si="7"/>
        <v>3.078198</v>
      </c>
      <c r="K23" s="535">
        <f t="shared" si="5"/>
        <v>8.3517000000000001E-3</v>
      </c>
      <c r="L23" s="535">
        <f t="shared" si="0"/>
        <v>2.1078099999999999E-2</v>
      </c>
      <c r="M23" s="107">
        <f t="shared" si="8"/>
        <v>3.1076277999999999</v>
      </c>
      <c r="N23" s="538">
        <f t="shared" si="9"/>
        <v>0</v>
      </c>
      <c r="O23" s="538">
        <f t="shared" si="10"/>
        <v>0</v>
      </c>
      <c r="P23" s="538">
        <f t="shared" si="11"/>
        <v>0</v>
      </c>
      <c r="Q23" s="1631">
        <f t="shared" si="6"/>
        <v>0</v>
      </c>
    </row>
    <row r="24" spans="1:17">
      <c r="A24" s="2115"/>
      <c r="B24" s="2124"/>
      <c r="C24" s="99" t="s">
        <v>384</v>
      </c>
      <c r="D24" s="1677"/>
      <c r="E24" s="534">
        <v>0</v>
      </c>
      <c r="F24" s="104" t="s">
        <v>380</v>
      </c>
      <c r="G24" s="535">
        <f>('Conversion factor'!$E$13*'Conversion factor'!$I$17)*EF_Transportation!$C$46</f>
        <v>2.1815639999999998</v>
      </c>
      <c r="H24" s="536">
        <f>('Conversion factor'!$E$13*'Conversion factor'!$I$17)*EF_Transportation!$C$60</f>
        <v>2.2035999999999998E-4</v>
      </c>
      <c r="I24" s="536">
        <f>('Conversion factor'!$E$13*'Conversion factor'!$I$17)*EF_Transportation!$D$60</f>
        <v>6.2959999999999994E-5</v>
      </c>
      <c r="J24" s="535">
        <f t="shared" si="7"/>
        <v>2.1815639999999998</v>
      </c>
      <c r="K24" s="535">
        <f t="shared" si="5"/>
        <v>6.6107999999999991E-3</v>
      </c>
      <c r="L24" s="535">
        <f t="shared" si="0"/>
        <v>1.6684399999999999E-2</v>
      </c>
      <c r="M24" s="107">
        <f t="shared" si="8"/>
        <v>2.2048591999999996</v>
      </c>
      <c r="N24" s="538">
        <f t="shared" si="9"/>
        <v>0</v>
      </c>
      <c r="O24" s="538">
        <f t="shared" si="10"/>
        <v>0</v>
      </c>
      <c r="P24" s="538">
        <f t="shared" si="11"/>
        <v>0</v>
      </c>
      <c r="Q24" s="1631">
        <f t="shared" si="6"/>
        <v>0</v>
      </c>
    </row>
    <row r="25" spans="1:17">
      <c r="A25" s="2115"/>
      <c r="B25" s="2124"/>
      <c r="C25" s="99" t="s">
        <v>477</v>
      </c>
      <c r="D25" s="1677"/>
      <c r="E25" s="534">
        <v>0</v>
      </c>
      <c r="F25" s="104" t="s">
        <v>380</v>
      </c>
      <c r="G25" s="535">
        <f>$G$24*0.9</f>
        <v>1.9634075999999998</v>
      </c>
      <c r="H25" s="536">
        <f>$H$24</f>
        <v>2.2035999999999998E-4</v>
      </c>
      <c r="I25" s="536">
        <f>$I$24</f>
        <v>6.2959999999999994E-5</v>
      </c>
      <c r="J25" s="535">
        <f t="shared" si="7"/>
        <v>1.9634075999999998</v>
      </c>
      <c r="K25" s="535">
        <f t="shared" si="5"/>
        <v>6.6107999999999991E-3</v>
      </c>
      <c r="L25" s="535">
        <f t="shared" si="0"/>
        <v>1.6684399999999999E-2</v>
      </c>
      <c r="M25" s="107">
        <f t="shared" si="8"/>
        <v>1.9867027999999998</v>
      </c>
      <c r="N25" s="538">
        <f t="shared" si="9"/>
        <v>0</v>
      </c>
      <c r="O25" s="538">
        <f t="shared" si="10"/>
        <v>0</v>
      </c>
      <c r="P25" s="538">
        <f t="shared" si="11"/>
        <v>0</v>
      </c>
      <c r="Q25" s="1631">
        <f t="shared" si="6"/>
        <v>0</v>
      </c>
    </row>
    <row r="26" spans="1:17">
      <c r="A26" s="753" t="s">
        <v>199</v>
      </c>
      <c r="B26" s="360" t="s">
        <v>481</v>
      </c>
      <c r="C26" s="99" t="s">
        <v>482</v>
      </c>
      <c r="D26" s="1677"/>
      <c r="E26" s="534">
        <v>0</v>
      </c>
      <c r="F26" s="104" t="s">
        <v>423</v>
      </c>
      <c r="G26" s="536">
        <f>EF_Transportation!$AG$13</f>
        <v>2680</v>
      </c>
      <c r="H26" s="536">
        <f>EF_Transportation!$AJ$13</f>
        <v>0.3</v>
      </c>
      <c r="I26" s="536">
        <f>EF_Transportation!$AK$13</f>
        <v>0.1</v>
      </c>
      <c r="J26" s="682">
        <f>G26*$J$5</f>
        <v>2680</v>
      </c>
      <c r="K26" s="682">
        <f t="shared" si="5"/>
        <v>9</v>
      </c>
      <c r="L26" s="682">
        <f t="shared" si="0"/>
        <v>26.5</v>
      </c>
      <c r="M26" s="683">
        <f>SUM(J26:L26)</f>
        <v>2715.5</v>
      </c>
      <c r="N26" s="538">
        <f>($E26*J26)/10^3</f>
        <v>0</v>
      </c>
      <c r="O26" s="538">
        <f>($E26*K26)/10^3</f>
        <v>0</v>
      </c>
      <c r="P26" s="538">
        <f>($E26*L26)/10^3</f>
        <v>0</v>
      </c>
      <c r="Q26" s="1631">
        <f>ROUND(SUM(N26:P26),2)</f>
        <v>0</v>
      </c>
    </row>
    <row r="27" spans="1:17">
      <c r="A27" s="2115" t="s">
        <v>201</v>
      </c>
      <c r="B27" s="2124" t="s">
        <v>483</v>
      </c>
      <c r="C27" s="99" t="s">
        <v>381</v>
      </c>
      <c r="D27" s="1677"/>
      <c r="E27" s="534">
        <v>0</v>
      </c>
      <c r="F27" s="104" t="s">
        <v>380</v>
      </c>
      <c r="G27" s="535">
        <f>('Conversion factor'!$E$16*'Conversion factor'!$I$17)*EF_Transportation!$C$9</f>
        <v>2.6987220000000001</v>
      </c>
      <c r="H27" s="536">
        <f>('Conversion factor'!$E$16*'Conversion factor'!$I$17)*EF_Transportation!$C$26</f>
        <v>1.4203800000000001E-4</v>
      </c>
      <c r="I27" s="536">
        <f>('Conversion factor'!$E$16*'Conversion factor'!$I$17)*EF_Transportation!$F$26</f>
        <v>1.4203800000000001E-4</v>
      </c>
      <c r="J27" s="535">
        <f t="shared" si="7"/>
        <v>2.6987220000000001</v>
      </c>
      <c r="K27" s="535">
        <f t="shared" si="5"/>
        <v>4.2611400000000001E-3</v>
      </c>
      <c r="L27" s="535">
        <f t="shared" si="0"/>
        <v>3.7640070000000005E-2</v>
      </c>
      <c r="M27" s="107">
        <f t="shared" si="8"/>
        <v>2.7406232100000003</v>
      </c>
      <c r="N27" s="538">
        <f t="shared" si="9"/>
        <v>0</v>
      </c>
      <c r="O27" s="538">
        <f t="shared" si="10"/>
        <v>0</v>
      </c>
      <c r="P27" s="538">
        <f t="shared" si="11"/>
        <v>0</v>
      </c>
      <c r="Q27" s="1631">
        <f t="shared" si="6"/>
        <v>0</v>
      </c>
    </row>
    <row r="28" spans="1:17">
      <c r="A28" s="2115"/>
      <c r="B28" s="2124"/>
      <c r="C28" s="99" t="s">
        <v>384</v>
      </c>
      <c r="D28" s="1677"/>
      <c r="E28" s="103">
        <v>0</v>
      </c>
      <c r="F28" s="104" t="s">
        <v>380</v>
      </c>
      <c r="G28" s="535">
        <f>('Conversion factor'!$E$13*'Conversion factor'!$I$17)*EF_Transportation!$C$8</f>
        <v>2.1815639999999998</v>
      </c>
      <c r="H28" s="536">
        <f>('Conversion factor'!$E$13*'Conversion factor'!$I$17)*EF_Transportation!$C$23</f>
        <v>1.0388399999999999E-3</v>
      </c>
      <c r="I28" s="536">
        <f>('Conversion factor'!$E$13*'Conversion factor'!$I$17)*EF_Transportation!$F$23</f>
        <v>1.0073599999999999E-4</v>
      </c>
      <c r="J28" s="535">
        <f t="shared" si="7"/>
        <v>2.1815639999999998</v>
      </c>
      <c r="K28" s="535">
        <f t="shared" si="5"/>
        <v>3.1165199999999997E-2</v>
      </c>
      <c r="L28" s="535">
        <f t="shared" si="0"/>
        <v>2.6695039999999996E-2</v>
      </c>
      <c r="M28" s="107">
        <f t="shared" si="8"/>
        <v>2.2394242399999995</v>
      </c>
      <c r="N28" s="538">
        <f t="shared" si="9"/>
        <v>0</v>
      </c>
      <c r="O28" s="538">
        <f t="shared" si="10"/>
        <v>0</v>
      </c>
      <c r="P28" s="538">
        <f t="shared" si="11"/>
        <v>0</v>
      </c>
      <c r="Q28" s="1631">
        <f t="shared" si="6"/>
        <v>0</v>
      </c>
    </row>
    <row r="29" spans="1:17">
      <c r="A29" s="2115"/>
      <c r="B29" s="2124"/>
      <c r="C29" s="99" t="s">
        <v>477</v>
      </c>
      <c r="D29" s="1677"/>
      <c r="E29" s="103">
        <v>0</v>
      </c>
      <c r="F29" s="104" t="s">
        <v>380</v>
      </c>
      <c r="G29" s="535">
        <f>$G$28*0.9</f>
        <v>1.9634075999999998</v>
      </c>
      <c r="H29" s="536">
        <f>$H$28</f>
        <v>1.0388399999999999E-3</v>
      </c>
      <c r="I29" s="536">
        <f>$I$28</f>
        <v>1.0073599999999999E-4</v>
      </c>
      <c r="J29" s="535">
        <f t="shared" si="7"/>
        <v>1.9634075999999998</v>
      </c>
      <c r="K29" s="535">
        <f t="shared" si="5"/>
        <v>3.1165199999999997E-2</v>
      </c>
      <c r="L29" s="535">
        <f t="shared" si="0"/>
        <v>2.6695039999999996E-2</v>
      </c>
      <c r="M29" s="107">
        <f t="shared" si="8"/>
        <v>2.0212678399999997</v>
      </c>
      <c r="N29" s="538">
        <f t="shared" si="9"/>
        <v>0</v>
      </c>
      <c r="O29" s="538">
        <f t="shared" si="10"/>
        <v>0</v>
      </c>
      <c r="P29" s="538">
        <f t="shared" si="11"/>
        <v>0</v>
      </c>
      <c r="Q29" s="1631">
        <f t="shared" si="6"/>
        <v>0</v>
      </c>
    </row>
    <row r="30" spans="1:17" ht="13.8" thickBot="1">
      <c r="A30" s="2120"/>
      <c r="B30" s="2125"/>
      <c r="C30" s="629" t="s">
        <v>388</v>
      </c>
      <c r="D30" s="1743"/>
      <c r="E30" s="622">
        <v>0</v>
      </c>
      <c r="F30" s="631" t="s">
        <v>380</v>
      </c>
      <c r="G30" s="625">
        <f>('Conversion factor'!$E$12*'Conversion factor'!$I$17)*EF_Transportation!$C$10</f>
        <v>1.6797219999999999</v>
      </c>
      <c r="H30" s="626">
        <f>('Conversion factor'!$E$12*'Conversion factor'!$I$17)*EF_Transportation!$C$28</f>
        <v>1.65044E-3</v>
      </c>
      <c r="I30" s="626">
        <f>('Conversion factor'!$E$12*'Conversion factor'!$I$17)*EF_Transportation!$F$28</f>
        <v>5.3240000000000002E-6</v>
      </c>
      <c r="J30" s="625">
        <f t="shared" si="7"/>
        <v>1.6797219999999999</v>
      </c>
      <c r="K30" s="625">
        <f t="shared" si="5"/>
        <v>4.95132E-2</v>
      </c>
      <c r="L30" s="625">
        <f t="shared" si="0"/>
        <v>1.4108600000000001E-3</v>
      </c>
      <c r="M30" s="632">
        <f t="shared" si="8"/>
        <v>1.73064606</v>
      </c>
      <c r="N30" s="636">
        <f t="shared" si="9"/>
        <v>0</v>
      </c>
      <c r="O30" s="636">
        <f t="shared" si="10"/>
        <v>0</v>
      </c>
      <c r="P30" s="636">
        <f t="shared" si="11"/>
        <v>0</v>
      </c>
      <c r="Q30" s="1633">
        <f t="shared" si="6"/>
        <v>0</v>
      </c>
    </row>
    <row r="31" spans="1:17">
      <c r="Q31" s="109"/>
    </row>
    <row r="32" spans="1:17" ht="13.8" thickBot="1">
      <c r="A32" s="111" t="s">
        <v>468</v>
      </c>
      <c r="B32" s="112"/>
      <c r="C32" s="112"/>
      <c r="D32" s="112"/>
      <c r="E32" s="686"/>
      <c r="F32" s="111"/>
      <c r="G32" s="111"/>
      <c r="H32" s="111"/>
      <c r="I32" s="111"/>
      <c r="J32" s="111"/>
      <c r="K32" s="111"/>
      <c r="L32" s="111"/>
      <c r="M32" s="111"/>
      <c r="N32" s="111"/>
      <c r="O32" s="111"/>
      <c r="P32" s="111"/>
      <c r="Q32" s="1628"/>
    </row>
    <row r="33" spans="1:17">
      <c r="A33" s="1166" t="s">
        <v>448</v>
      </c>
      <c r="B33" s="550" t="s">
        <v>475</v>
      </c>
      <c r="C33" s="544" t="s">
        <v>469</v>
      </c>
      <c r="D33" s="529" t="s">
        <v>51</v>
      </c>
      <c r="E33" s="529">
        <f>'Energy_Input DATA'!C68</f>
        <v>0</v>
      </c>
      <c r="F33" s="529" t="s">
        <v>353</v>
      </c>
      <c r="G33" s="528">
        <v>0.49540000000000001</v>
      </c>
      <c r="H33" s="541">
        <v>6.0999999999999999E-5</v>
      </c>
      <c r="I33" s="541">
        <v>1.04E-5</v>
      </c>
      <c r="J33" s="530">
        <f>G33*$J$5</f>
        <v>0.49540000000000001</v>
      </c>
      <c r="K33" s="531">
        <f>H33*$K$5</f>
        <v>1.7079999999999999E-3</v>
      </c>
      <c r="L33" s="531">
        <f>I33*$M$5</f>
        <v>2.7560000000000002E-3</v>
      </c>
      <c r="M33" s="532">
        <f>SUM(J33:L33)</f>
        <v>0.49986399999999998</v>
      </c>
      <c r="N33" s="542">
        <f t="shared" ref="N33:P37" si="12">($E33*J33)/10^3</f>
        <v>0</v>
      </c>
      <c r="O33" s="542">
        <f t="shared" si="12"/>
        <v>0</v>
      </c>
      <c r="P33" s="542">
        <f t="shared" si="12"/>
        <v>0</v>
      </c>
      <c r="Q33" s="1634">
        <f>ROUND(SUM(N33:P33),2)</f>
        <v>0</v>
      </c>
    </row>
    <row r="34" spans="1:17">
      <c r="A34" s="546" t="s">
        <v>177</v>
      </c>
      <c r="B34" s="114" t="s">
        <v>478</v>
      </c>
      <c r="C34" s="99" t="s">
        <v>469</v>
      </c>
      <c r="D34" s="103" t="s">
        <v>45</v>
      </c>
      <c r="E34" s="103">
        <f>'Energy_Input DATA'!C69</f>
        <v>0</v>
      </c>
      <c r="F34" s="103" t="s">
        <v>353</v>
      </c>
      <c r="G34" s="180">
        <v>0.49540000000000001</v>
      </c>
      <c r="H34" s="187">
        <v>6.0999999999999999E-5</v>
      </c>
      <c r="I34" s="187">
        <v>1.04E-5</v>
      </c>
      <c r="J34" s="535">
        <f>G34*$J$5</f>
        <v>0.49540000000000001</v>
      </c>
      <c r="K34" s="536">
        <f>H34*$K$5</f>
        <v>1.7079999999999999E-3</v>
      </c>
      <c r="L34" s="536">
        <f>I34*$M$5</f>
        <v>2.7560000000000002E-3</v>
      </c>
      <c r="M34" s="537">
        <f>SUM(J34:L34)</f>
        <v>0.49986399999999998</v>
      </c>
      <c r="N34" s="543">
        <f t="shared" si="12"/>
        <v>0</v>
      </c>
      <c r="O34" s="543">
        <f t="shared" si="12"/>
        <v>0</v>
      </c>
      <c r="P34" s="543">
        <f t="shared" si="12"/>
        <v>0</v>
      </c>
      <c r="Q34" s="1635">
        <f>ROUND(SUM(N34:P34),2)</f>
        <v>0</v>
      </c>
    </row>
    <row r="35" spans="1:17">
      <c r="A35" s="546" t="s">
        <v>179</v>
      </c>
      <c r="B35" s="114" t="s">
        <v>480</v>
      </c>
      <c r="C35" s="99" t="s">
        <v>469</v>
      </c>
      <c r="D35" s="103" t="s">
        <v>45</v>
      </c>
      <c r="E35" s="103">
        <f>'Energy_Input DATA'!C70</f>
        <v>0</v>
      </c>
      <c r="F35" s="103" t="s">
        <v>353</v>
      </c>
      <c r="G35" s="180">
        <v>0.49540000000000001</v>
      </c>
      <c r="H35" s="187">
        <v>6.0999999999999999E-5</v>
      </c>
      <c r="I35" s="187">
        <v>1.04E-5</v>
      </c>
      <c r="J35" s="535">
        <f>G35*$J$5</f>
        <v>0.49540000000000001</v>
      </c>
      <c r="K35" s="536">
        <f>H35*$K$5</f>
        <v>1.7079999999999999E-3</v>
      </c>
      <c r="L35" s="536">
        <f>I35*$M$5</f>
        <v>2.7560000000000002E-3</v>
      </c>
      <c r="M35" s="537">
        <f>SUM(J35:L35)</f>
        <v>0.49986399999999998</v>
      </c>
      <c r="N35" s="543">
        <f t="shared" si="12"/>
        <v>0</v>
      </c>
      <c r="O35" s="543">
        <f t="shared" si="12"/>
        <v>0</v>
      </c>
      <c r="P35" s="543">
        <f t="shared" si="12"/>
        <v>0</v>
      </c>
      <c r="Q35" s="1635">
        <f>ROUND(SUM(N35:P35),2)</f>
        <v>0</v>
      </c>
    </row>
    <row r="36" spans="1:17">
      <c r="A36" s="546" t="s">
        <v>470</v>
      </c>
      <c r="B36" s="99" t="s">
        <v>481</v>
      </c>
      <c r="C36" s="99" t="s">
        <v>469</v>
      </c>
      <c r="D36" s="103" t="s">
        <v>45</v>
      </c>
      <c r="E36" s="103">
        <f>'Energy_Input DATA'!C71</f>
        <v>0</v>
      </c>
      <c r="F36" s="103" t="s">
        <v>353</v>
      </c>
      <c r="G36" s="180">
        <v>0.49540000000000001</v>
      </c>
      <c r="H36" s="187">
        <v>6.0999999999999999E-5</v>
      </c>
      <c r="I36" s="187">
        <v>1.04E-5</v>
      </c>
      <c r="J36" s="535">
        <f>G36*$J$5</f>
        <v>0.49540000000000001</v>
      </c>
      <c r="K36" s="536">
        <f>H36*$K$5</f>
        <v>1.7079999999999999E-3</v>
      </c>
      <c r="L36" s="536">
        <f>I36*$M$5</f>
        <v>2.7560000000000002E-3</v>
      </c>
      <c r="M36" s="537">
        <f>SUM(J36:L36)</f>
        <v>0.49986399999999998</v>
      </c>
      <c r="N36" s="543">
        <f t="shared" si="12"/>
        <v>0</v>
      </c>
      <c r="O36" s="543">
        <f t="shared" si="12"/>
        <v>0</v>
      </c>
      <c r="P36" s="543">
        <f t="shared" si="12"/>
        <v>0</v>
      </c>
      <c r="Q36" s="1635">
        <f>ROUND(SUM(N36:P36),2)</f>
        <v>0</v>
      </c>
    </row>
    <row r="37" spans="1:17" ht="13.8" thickBot="1">
      <c r="A37" s="920" t="s">
        <v>184</v>
      </c>
      <c r="B37" s="633" t="s">
        <v>483</v>
      </c>
      <c r="C37" s="629" t="s">
        <v>469</v>
      </c>
      <c r="D37" s="631" t="s">
        <v>51</v>
      </c>
      <c r="E37" s="622">
        <f>'Energy_Input DATA'!C72</f>
        <v>0</v>
      </c>
      <c r="F37" s="622" t="s">
        <v>353</v>
      </c>
      <c r="G37" s="621">
        <v>0.49540000000000001</v>
      </c>
      <c r="H37" s="634">
        <v>6.0999999999999999E-5</v>
      </c>
      <c r="I37" s="634">
        <v>1.04E-5</v>
      </c>
      <c r="J37" s="625">
        <f>G37*$J$5</f>
        <v>0.49540000000000001</v>
      </c>
      <c r="K37" s="626">
        <f>H37*$K$5</f>
        <v>1.7079999999999999E-3</v>
      </c>
      <c r="L37" s="626">
        <f>I37*$M$5</f>
        <v>2.7560000000000002E-3</v>
      </c>
      <c r="M37" s="627">
        <f>SUM(J37:L37)</f>
        <v>0.49986399999999998</v>
      </c>
      <c r="N37" s="628">
        <f t="shared" si="12"/>
        <v>0</v>
      </c>
      <c r="O37" s="628">
        <f t="shared" si="12"/>
        <v>0</v>
      </c>
      <c r="P37" s="628">
        <f t="shared" si="12"/>
        <v>0</v>
      </c>
      <c r="Q37" s="1636">
        <f>ROUND(SUM(N37:P37),2)</f>
        <v>0</v>
      </c>
    </row>
    <row r="38" spans="1:17">
      <c r="A38" s="103"/>
      <c r="B38" s="114"/>
      <c r="D38" s="104"/>
      <c r="F38" s="103"/>
      <c r="G38" s="180"/>
      <c r="H38" s="187"/>
      <c r="I38" s="187"/>
      <c r="J38" s="535"/>
      <c r="K38" s="536"/>
      <c r="L38" s="536"/>
      <c r="M38" s="537"/>
      <c r="N38" s="543"/>
      <c r="O38" s="543"/>
      <c r="P38" s="543"/>
      <c r="Q38" s="1637"/>
    </row>
    <row r="39" spans="1:17">
      <c r="Q39" s="109"/>
    </row>
    <row r="40" spans="1:17" ht="13.8" thickBot="1">
      <c r="A40" s="111" t="s">
        <v>471</v>
      </c>
      <c r="B40" s="112"/>
      <c r="C40" s="112"/>
      <c r="D40" s="112"/>
      <c r="E40" s="686"/>
      <c r="F40" s="111"/>
      <c r="G40" s="111"/>
      <c r="H40" s="111"/>
      <c r="I40" s="111"/>
      <c r="J40" s="111"/>
      <c r="K40" s="111"/>
      <c r="L40" s="111"/>
      <c r="M40" s="111"/>
      <c r="N40" s="111"/>
      <c r="O40" s="111"/>
      <c r="P40" s="111"/>
      <c r="Q40" s="1628"/>
    </row>
    <row r="41" spans="1:17">
      <c r="A41" s="2122" t="s">
        <v>474</v>
      </c>
      <c r="B41" s="2126" t="s">
        <v>475</v>
      </c>
      <c r="C41" s="544" t="s">
        <v>381</v>
      </c>
      <c r="D41" s="1850"/>
      <c r="E41" s="711">
        <f>'Transportation_Input DATA'!F11</f>
        <v>0</v>
      </c>
      <c r="F41" s="548" t="s">
        <v>380</v>
      </c>
      <c r="G41" s="530">
        <f>('Conversion factor'!$E$16*'Conversion factor'!$I$17)*EF_Transportation!$C$9</f>
        <v>2.6987220000000001</v>
      </c>
      <c r="H41" s="531">
        <f>('Conversion factor'!$E$16*'Conversion factor'!$I$17)*EF_Transportation!$C$26</f>
        <v>1.4203800000000001E-4</v>
      </c>
      <c r="I41" s="531">
        <f>('Conversion factor'!$E$16*'Conversion factor'!$I$17)*EF_Transportation!$F$26</f>
        <v>1.4203800000000001E-4</v>
      </c>
      <c r="J41" s="530">
        <f>G41*$J$5</f>
        <v>2.6987220000000001</v>
      </c>
      <c r="K41" s="1629">
        <f t="shared" ref="K41:K61" si="13">H41*$L$5</f>
        <v>4.2611400000000001E-3</v>
      </c>
      <c r="L41" s="530">
        <f t="shared" ref="L41:L61" si="14">I41*$M$5</f>
        <v>3.7640070000000005E-2</v>
      </c>
      <c r="M41" s="549">
        <f>SUM(J41:L41)</f>
        <v>2.7406232100000003</v>
      </c>
      <c r="N41" s="533">
        <f t="shared" ref="N41:P44" si="15">($E41*J41)/10^3</f>
        <v>0</v>
      </c>
      <c r="O41" s="533">
        <f t="shared" si="15"/>
        <v>0</v>
      </c>
      <c r="P41" s="533">
        <f t="shared" si="15"/>
        <v>0</v>
      </c>
      <c r="Q41" s="1630">
        <f>ROUND(SUM(N41:P41),2)</f>
        <v>0</v>
      </c>
    </row>
    <row r="42" spans="1:17">
      <c r="A42" s="2115"/>
      <c r="B42" s="2124"/>
      <c r="C42" s="99" t="s">
        <v>382</v>
      </c>
      <c r="D42" s="104" t="s">
        <v>51</v>
      </c>
      <c r="E42" s="534">
        <v>0</v>
      </c>
      <c r="F42" s="104" t="s">
        <v>380</v>
      </c>
      <c r="G42" s="535">
        <f>$G$41*0.9</f>
        <v>2.4288498000000001</v>
      </c>
      <c r="H42" s="536">
        <f>$H$41</f>
        <v>1.4203800000000001E-4</v>
      </c>
      <c r="I42" s="536">
        <f>$I$41</f>
        <v>1.4203800000000001E-4</v>
      </c>
      <c r="J42" s="535">
        <f>G42*$J$5</f>
        <v>2.4288498000000001</v>
      </c>
      <c r="K42" s="535">
        <f t="shared" si="13"/>
        <v>4.2611400000000001E-3</v>
      </c>
      <c r="L42" s="535">
        <f t="shared" si="14"/>
        <v>3.7640070000000005E-2</v>
      </c>
      <c r="M42" s="107">
        <f>SUM(J42:L42)</f>
        <v>2.4707510100000003</v>
      </c>
      <c r="N42" s="538">
        <f t="shared" si="15"/>
        <v>0</v>
      </c>
      <c r="O42" s="538">
        <f t="shared" si="15"/>
        <v>0</v>
      </c>
      <c r="P42" s="538">
        <f t="shared" si="15"/>
        <v>0</v>
      </c>
      <c r="Q42" s="1631">
        <f t="shared" ref="Q42:Q61" si="16">ROUND(SUM(N42:P42),2)</f>
        <v>0</v>
      </c>
    </row>
    <row r="43" spans="1:17">
      <c r="A43" s="2115"/>
      <c r="B43" s="2124"/>
      <c r="C43" s="99" t="s">
        <v>383</v>
      </c>
      <c r="D43" s="104" t="s">
        <v>51</v>
      </c>
      <c r="E43" s="534">
        <v>0</v>
      </c>
      <c r="F43" s="104" t="s">
        <v>380</v>
      </c>
      <c r="G43" s="535">
        <f>$G$41*0.8</f>
        <v>2.1589776000000001</v>
      </c>
      <c r="H43" s="536">
        <f>$H$41</f>
        <v>1.4203800000000001E-4</v>
      </c>
      <c r="I43" s="536">
        <f>$I$41</f>
        <v>1.4203800000000001E-4</v>
      </c>
      <c r="J43" s="535">
        <f t="shared" ref="J43:J61" si="17">G43*$J$5</f>
        <v>2.1589776000000001</v>
      </c>
      <c r="K43" s="535">
        <f t="shared" si="13"/>
        <v>4.2611400000000001E-3</v>
      </c>
      <c r="L43" s="535">
        <f t="shared" si="14"/>
        <v>3.7640070000000005E-2</v>
      </c>
      <c r="M43" s="107">
        <f>SUM(J43:L43)</f>
        <v>2.2008788100000003</v>
      </c>
      <c r="N43" s="538">
        <f t="shared" si="15"/>
        <v>0</v>
      </c>
      <c r="O43" s="538">
        <f t="shared" si="15"/>
        <v>0</v>
      </c>
      <c r="P43" s="538">
        <f t="shared" si="15"/>
        <v>0</v>
      </c>
      <c r="Q43" s="1631">
        <f t="shared" si="16"/>
        <v>0</v>
      </c>
    </row>
    <row r="44" spans="1:17">
      <c r="A44" s="2115"/>
      <c r="B44" s="2124"/>
      <c r="C44" s="99" t="s">
        <v>384</v>
      </c>
      <c r="D44" s="104" t="s">
        <v>51</v>
      </c>
      <c r="E44" s="534">
        <v>0</v>
      </c>
      <c r="F44" s="104" t="s">
        <v>380</v>
      </c>
      <c r="G44" s="535">
        <f>('Conversion factor'!$E$13*'Conversion factor'!$I$17)*EF_Transportation!$C$8</f>
        <v>2.1815639999999998</v>
      </c>
      <c r="H44" s="536">
        <f>('Conversion factor'!$E$13*'Conversion factor'!$I$17)*EF_Transportation!$C$23</f>
        <v>1.0388399999999999E-3</v>
      </c>
      <c r="I44" s="536">
        <f>('Conversion factor'!$E$13*'Conversion factor'!$I$17)*EF_Transportation!$F$23</f>
        <v>1.0073599999999999E-4</v>
      </c>
      <c r="J44" s="535">
        <f t="shared" si="17"/>
        <v>2.1815639999999998</v>
      </c>
      <c r="K44" s="535">
        <f t="shared" si="13"/>
        <v>3.1165199999999997E-2</v>
      </c>
      <c r="L44" s="535">
        <f t="shared" si="14"/>
        <v>2.6695039999999996E-2</v>
      </c>
      <c r="M44" s="107">
        <f>SUM(J44:L44)</f>
        <v>2.2394242399999995</v>
      </c>
      <c r="N44" s="538">
        <f t="shared" si="15"/>
        <v>0</v>
      </c>
      <c r="O44" s="538">
        <f t="shared" si="15"/>
        <v>0</v>
      </c>
      <c r="P44" s="538">
        <f t="shared" si="15"/>
        <v>0</v>
      </c>
      <c r="Q44" s="1631">
        <f t="shared" si="16"/>
        <v>0</v>
      </c>
    </row>
    <row r="45" spans="1:17">
      <c r="A45" s="2115"/>
      <c r="B45" s="2124"/>
      <c r="C45" s="99" t="s">
        <v>386</v>
      </c>
      <c r="D45" s="104" t="s">
        <v>51</v>
      </c>
      <c r="E45" s="534">
        <v>0</v>
      </c>
      <c r="F45" s="104" t="s">
        <v>380</v>
      </c>
      <c r="G45" s="535">
        <f>$G$44*0.15</f>
        <v>0.32723459999999999</v>
      </c>
      <c r="H45" s="536">
        <f>$H$44</f>
        <v>1.0388399999999999E-3</v>
      </c>
      <c r="I45" s="536">
        <f>$I$44</f>
        <v>1.0073599999999999E-4</v>
      </c>
      <c r="J45" s="535">
        <f t="shared" si="17"/>
        <v>0.32723459999999999</v>
      </c>
      <c r="K45" s="535">
        <f t="shared" si="13"/>
        <v>3.1165199999999997E-2</v>
      </c>
      <c r="L45" s="535">
        <f t="shared" si="14"/>
        <v>2.6695039999999996E-2</v>
      </c>
      <c r="M45" s="107">
        <f t="shared" ref="M45:M61" si="18">SUM(J45:L45)</f>
        <v>0.38509483999999999</v>
      </c>
      <c r="N45" s="538">
        <f t="shared" ref="N45:N61" si="19">($E45*J45)/10^3</f>
        <v>0</v>
      </c>
      <c r="O45" s="538">
        <f t="shared" ref="O45:O61" si="20">($E45*K45)/10^3</f>
        <v>0</v>
      </c>
      <c r="P45" s="538">
        <f t="shared" ref="P45:P61" si="21">($E45*L45)/10^3</f>
        <v>0</v>
      </c>
      <c r="Q45" s="1631">
        <f t="shared" si="16"/>
        <v>0</v>
      </c>
    </row>
    <row r="46" spans="1:17">
      <c r="A46" s="2115"/>
      <c r="B46" s="2124"/>
      <c r="C46" s="99" t="s">
        <v>387</v>
      </c>
      <c r="D46" s="104" t="s">
        <v>51</v>
      </c>
      <c r="E46" s="534">
        <v>0</v>
      </c>
      <c r="F46" s="104" t="s">
        <v>380</v>
      </c>
      <c r="G46" s="535">
        <f>$G$44*0.8</f>
        <v>1.7452512</v>
      </c>
      <c r="H46" s="536">
        <f>$H$44</f>
        <v>1.0388399999999999E-3</v>
      </c>
      <c r="I46" s="536">
        <f>$I$44</f>
        <v>1.0073599999999999E-4</v>
      </c>
      <c r="J46" s="535">
        <f t="shared" si="17"/>
        <v>1.7452512</v>
      </c>
      <c r="K46" s="535">
        <f t="shared" si="13"/>
        <v>3.1165199999999997E-2</v>
      </c>
      <c r="L46" s="535">
        <f t="shared" si="14"/>
        <v>2.6695039999999996E-2</v>
      </c>
      <c r="M46" s="107">
        <f t="shared" si="18"/>
        <v>1.8031114399999999</v>
      </c>
      <c r="N46" s="538">
        <f t="shared" si="19"/>
        <v>0</v>
      </c>
      <c r="O46" s="538">
        <f t="shared" si="20"/>
        <v>0</v>
      </c>
      <c r="P46" s="538">
        <f t="shared" si="21"/>
        <v>0</v>
      </c>
      <c r="Q46" s="1631">
        <f t="shared" si="16"/>
        <v>0</v>
      </c>
    </row>
    <row r="47" spans="1:17">
      <c r="A47" s="2115"/>
      <c r="B47" s="2124"/>
      <c r="C47" s="99" t="s">
        <v>477</v>
      </c>
      <c r="D47" s="104" t="s">
        <v>51</v>
      </c>
      <c r="E47" s="534">
        <v>0</v>
      </c>
      <c r="F47" s="104" t="s">
        <v>380</v>
      </c>
      <c r="G47" s="535">
        <f>$G$44*0.9</f>
        <v>1.9634075999999998</v>
      </c>
      <c r="H47" s="536">
        <f>$H$44</f>
        <v>1.0388399999999999E-3</v>
      </c>
      <c r="I47" s="536">
        <f>$I$44</f>
        <v>1.0073599999999999E-4</v>
      </c>
      <c r="J47" s="535">
        <f t="shared" si="17"/>
        <v>1.9634075999999998</v>
      </c>
      <c r="K47" s="535">
        <f t="shared" si="13"/>
        <v>3.1165199999999997E-2</v>
      </c>
      <c r="L47" s="535">
        <f t="shared" si="14"/>
        <v>2.6695039999999996E-2</v>
      </c>
      <c r="M47" s="107">
        <f t="shared" si="18"/>
        <v>2.0212678399999997</v>
      </c>
      <c r="N47" s="538">
        <f t="shared" si="19"/>
        <v>0</v>
      </c>
      <c r="O47" s="538">
        <f t="shared" si="20"/>
        <v>0</v>
      </c>
      <c r="P47" s="538">
        <f t="shared" si="21"/>
        <v>0</v>
      </c>
      <c r="Q47" s="1631">
        <f t="shared" si="16"/>
        <v>0</v>
      </c>
    </row>
    <row r="48" spans="1:17">
      <c r="A48" s="2115"/>
      <c r="B48" s="2124"/>
      <c r="C48" s="99" t="s">
        <v>388</v>
      </c>
      <c r="D48" s="104" t="s">
        <v>51</v>
      </c>
      <c r="E48" s="534">
        <v>0</v>
      </c>
      <c r="F48" s="104" t="s">
        <v>380</v>
      </c>
      <c r="G48" s="535">
        <f>('Conversion factor'!$E$12*'Conversion factor'!$I$17)*EF_Transportation!$C$10</f>
        <v>1.6797219999999999</v>
      </c>
      <c r="H48" s="536">
        <f>('Conversion factor'!$E$12*'Conversion factor'!$I$17)*EF_Transportation!$C$28</f>
        <v>1.65044E-3</v>
      </c>
      <c r="I48" s="536">
        <f>('Conversion factor'!$E$12*'Conversion factor'!$I$17)*EF_Transportation!$F$28</f>
        <v>5.3240000000000002E-6</v>
      </c>
      <c r="J48" s="535">
        <f t="shared" si="17"/>
        <v>1.6797219999999999</v>
      </c>
      <c r="K48" s="535">
        <f t="shared" si="13"/>
        <v>4.95132E-2</v>
      </c>
      <c r="L48" s="535">
        <f t="shared" si="14"/>
        <v>1.4108600000000001E-3</v>
      </c>
      <c r="M48" s="107">
        <f t="shared" si="18"/>
        <v>1.73064606</v>
      </c>
      <c r="N48" s="538">
        <f t="shared" si="19"/>
        <v>0</v>
      </c>
      <c r="O48" s="538">
        <f t="shared" si="20"/>
        <v>0</v>
      </c>
      <c r="P48" s="538">
        <f t="shared" si="21"/>
        <v>0</v>
      </c>
      <c r="Q48" s="1631">
        <f t="shared" si="16"/>
        <v>0</v>
      </c>
    </row>
    <row r="49" spans="1:17">
      <c r="A49" s="2115"/>
      <c r="B49" s="2124"/>
      <c r="C49" s="99" t="s">
        <v>389</v>
      </c>
      <c r="D49" s="104" t="s">
        <v>51</v>
      </c>
      <c r="E49" s="534">
        <v>0</v>
      </c>
      <c r="F49" s="104" t="s">
        <v>380</v>
      </c>
      <c r="G49" s="535">
        <f>('Conversion factor'!$E$10*'Conversion factor'!$I$17)*EF_Transportation!$C$13</f>
        <v>5.7222000000000002E-2</v>
      </c>
      <c r="H49" s="536">
        <f>('Conversion factor'!$E$10*'Conversion factor'!$I$17)*EF_Transportation!$C$27</f>
        <v>9.3839999999999996E-5</v>
      </c>
      <c r="I49" s="536">
        <f>('Conversion factor'!$E$10*'Conversion factor'!$I$17)*EF_Transportation!$F$27</f>
        <v>3.0599999999999999E-6</v>
      </c>
      <c r="J49" s="535">
        <f t="shared" si="17"/>
        <v>5.7222000000000002E-2</v>
      </c>
      <c r="K49" s="535">
        <f t="shared" si="13"/>
        <v>2.8151999999999999E-3</v>
      </c>
      <c r="L49" s="535">
        <f t="shared" si="14"/>
        <v>8.1090000000000003E-4</v>
      </c>
      <c r="M49" s="107">
        <f t="shared" si="18"/>
        <v>6.0848100000000002E-2</v>
      </c>
      <c r="N49" s="538">
        <f t="shared" si="19"/>
        <v>0</v>
      </c>
      <c r="O49" s="538">
        <f t="shared" si="20"/>
        <v>0</v>
      </c>
      <c r="P49" s="538">
        <f t="shared" si="21"/>
        <v>0</v>
      </c>
      <c r="Q49" s="1631">
        <f t="shared" si="16"/>
        <v>0</v>
      </c>
    </row>
    <row r="50" spans="1:17">
      <c r="A50" s="2115" t="s">
        <v>195</v>
      </c>
      <c r="B50" s="2124" t="s">
        <v>478</v>
      </c>
      <c r="C50" s="99" t="s">
        <v>381</v>
      </c>
      <c r="D50" s="104"/>
      <c r="E50" s="534">
        <f>'Transportation_Input DATA'!I53</f>
        <v>0</v>
      </c>
      <c r="F50" s="104" t="s">
        <v>380</v>
      </c>
      <c r="G50" s="535">
        <f>('Conversion factor'!$E$16*'Conversion factor'!$I$17)*EF_Transportation!B$37</f>
        <v>2.6987220000000001</v>
      </c>
      <c r="H50" s="536">
        <f>('Conversion factor'!$E$16*'Conversion factor'!$I$17)*EF_Transportation!$B$38</f>
        <v>1.5114300000000001E-4</v>
      </c>
      <c r="I50" s="536">
        <f>('Conversion factor'!$E$16*'Conversion factor'!$I$17)*EF_Transportation!$B$39</f>
        <v>1.0416120000000001E-3</v>
      </c>
      <c r="J50" s="535">
        <f t="shared" si="17"/>
        <v>2.6987220000000001</v>
      </c>
      <c r="K50" s="535">
        <f t="shared" si="13"/>
        <v>4.5342900000000007E-3</v>
      </c>
      <c r="L50" s="535">
        <f t="shared" si="14"/>
        <v>0.27602718000000004</v>
      </c>
      <c r="M50" s="107">
        <f t="shared" si="18"/>
        <v>2.9792834700000004</v>
      </c>
      <c r="N50" s="538">
        <f t="shared" si="19"/>
        <v>0</v>
      </c>
      <c r="O50" s="538">
        <f t="shared" si="20"/>
        <v>0</v>
      </c>
      <c r="P50" s="538">
        <f t="shared" si="21"/>
        <v>0</v>
      </c>
      <c r="Q50" s="1631">
        <f t="shared" si="16"/>
        <v>0</v>
      </c>
    </row>
    <row r="51" spans="1:17">
      <c r="A51" s="2115"/>
      <c r="B51" s="2124"/>
      <c r="C51" s="180" t="s">
        <v>479</v>
      </c>
      <c r="D51" s="104" t="s">
        <v>51</v>
      </c>
      <c r="E51" s="534">
        <v>0</v>
      </c>
      <c r="F51" s="104" t="s">
        <v>380</v>
      </c>
      <c r="G51" s="535">
        <f>('Conversion factor'!$E$17*'Conversion factor'!$I$17)*EF_Transportation!$B$37</f>
        <v>2.9469569999999998</v>
      </c>
      <c r="H51" s="536">
        <f>('Conversion factor'!$E$17*'Conversion factor'!$I$17)*EF_Transportation!$B$38</f>
        <v>1.6504550000000001E-4</v>
      </c>
      <c r="I51" s="536">
        <f>('Conversion factor'!$E$17*'Conversion factor'!$I$17)*EF_Transportation!$B$39</f>
        <v>1.1374220000000001E-3</v>
      </c>
      <c r="J51" s="535">
        <f t="shared" si="17"/>
        <v>2.9469569999999998</v>
      </c>
      <c r="K51" s="535">
        <f t="shared" si="13"/>
        <v>4.9513650000000001E-3</v>
      </c>
      <c r="L51" s="535">
        <f t="shared" si="14"/>
        <v>0.30141683000000002</v>
      </c>
      <c r="M51" s="107">
        <f t="shared" si="18"/>
        <v>3.2533251949999999</v>
      </c>
      <c r="N51" s="538">
        <f t="shared" si="19"/>
        <v>0</v>
      </c>
      <c r="O51" s="538">
        <f t="shared" si="20"/>
        <v>0</v>
      </c>
      <c r="P51" s="538">
        <f t="shared" si="21"/>
        <v>0</v>
      </c>
      <c r="Q51" s="1631">
        <f t="shared" si="16"/>
        <v>0</v>
      </c>
    </row>
    <row r="52" spans="1:17">
      <c r="A52" s="2115" t="s">
        <v>197</v>
      </c>
      <c r="B52" s="2124" t="s">
        <v>480</v>
      </c>
      <c r="C52" s="99" t="s">
        <v>476</v>
      </c>
      <c r="D52" s="104" t="s">
        <v>51</v>
      </c>
      <c r="E52" s="534">
        <v>0</v>
      </c>
      <c r="F52" s="104" t="s">
        <v>380</v>
      </c>
      <c r="G52" s="535">
        <f>('Conversion factor'!$E$16*'Conversion factor'!$I$17)*EF_Transportation!$C$48</f>
        <v>2.6987220000000001</v>
      </c>
      <c r="H52" s="536">
        <f>('Conversion factor'!$E$16*'Conversion factor'!$I$17)*EF_Transportation!$C$60</f>
        <v>2.5494E-4</v>
      </c>
      <c r="I52" s="536">
        <f>('Conversion factor'!$E$16*'Conversion factor'!$I$17)*EF_Transportation!$D$60</f>
        <v>7.2840000000000001E-5</v>
      </c>
      <c r="J52" s="535">
        <f t="shared" si="17"/>
        <v>2.6987220000000001</v>
      </c>
      <c r="K52" s="535">
        <f t="shared" si="13"/>
        <v>7.6482E-3</v>
      </c>
      <c r="L52" s="535">
        <f>I52*$M$5</f>
        <v>1.93026E-2</v>
      </c>
      <c r="M52" s="107">
        <f t="shared" si="18"/>
        <v>2.7256728000000003</v>
      </c>
      <c r="N52" s="538">
        <f t="shared" si="19"/>
        <v>0</v>
      </c>
      <c r="O52" s="538">
        <f t="shared" si="20"/>
        <v>0</v>
      </c>
      <c r="P52" s="538">
        <f t="shared" si="21"/>
        <v>0</v>
      </c>
      <c r="Q52" s="1631">
        <f t="shared" si="16"/>
        <v>0</v>
      </c>
    </row>
    <row r="53" spans="1:17">
      <c r="A53" s="2115"/>
      <c r="B53" s="2124"/>
      <c r="C53" s="180" t="s">
        <v>479</v>
      </c>
      <c r="E53" s="534">
        <f>'Energy_Input DATA'!H49</f>
        <v>0</v>
      </c>
      <c r="F53" s="104" t="s">
        <v>380</v>
      </c>
      <c r="G53" s="535">
        <f>('Conversion factor'!$E$17*'Conversion factor'!$I$17)*EF_Transportation!$C$49</f>
        <v>3.078198</v>
      </c>
      <c r="H53" s="536">
        <f>('Conversion factor'!$E$17*'Conversion factor'!$I$17)*EF_Transportation!$C$60</f>
        <v>2.7839E-4</v>
      </c>
      <c r="I53" s="536">
        <f>('Conversion factor'!$E$17*'Conversion factor'!$I$17)*EF_Transportation!$D$60</f>
        <v>7.9540000000000001E-5</v>
      </c>
      <c r="J53" s="535">
        <f t="shared" si="17"/>
        <v>3.078198</v>
      </c>
      <c r="K53" s="535">
        <f t="shared" si="13"/>
        <v>8.3517000000000001E-3</v>
      </c>
      <c r="L53" s="535">
        <f>I53*$M$5</f>
        <v>2.1078099999999999E-2</v>
      </c>
      <c r="M53" s="107">
        <f t="shared" si="18"/>
        <v>3.1076277999999999</v>
      </c>
      <c r="N53" s="538">
        <f t="shared" ref="N53:P54" si="22">($E53*J53)/10^3</f>
        <v>0</v>
      </c>
      <c r="O53" s="538">
        <f t="shared" si="22"/>
        <v>0</v>
      </c>
      <c r="P53" s="538">
        <f t="shared" si="22"/>
        <v>0</v>
      </c>
      <c r="Q53" s="1631">
        <f t="shared" si="16"/>
        <v>0</v>
      </c>
    </row>
    <row r="54" spans="1:17">
      <c r="A54" s="2115"/>
      <c r="B54" s="2124"/>
      <c r="C54" s="99" t="s">
        <v>384</v>
      </c>
      <c r="D54" s="103" t="s">
        <v>45</v>
      </c>
      <c r="E54" s="534">
        <v>0</v>
      </c>
      <c r="F54" s="104" t="s">
        <v>380</v>
      </c>
      <c r="G54" s="535">
        <f>('Conversion factor'!$E$13*'Conversion factor'!$I$17)*EF_Transportation!$C$46</f>
        <v>2.1815639999999998</v>
      </c>
      <c r="H54" s="536">
        <f>('Conversion factor'!$E$13*'Conversion factor'!$I$17)*EF_Transportation!$C$60</f>
        <v>2.2035999999999998E-4</v>
      </c>
      <c r="I54" s="536">
        <f>('Conversion factor'!$E$13*'Conversion factor'!$I$17)*EF_Transportation!$D$60</f>
        <v>6.2959999999999994E-5</v>
      </c>
      <c r="J54" s="535">
        <f t="shared" si="17"/>
        <v>2.1815639999999998</v>
      </c>
      <c r="K54" s="535">
        <f t="shared" si="13"/>
        <v>6.6107999999999991E-3</v>
      </c>
      <c r="L54" s="535">
        <f>I54*$M$5</f>
        <v>1.6684399999999999E-2</v>
      </c>
      <c r="M54" s="107">
        <f t="shared" si="18"/>
        <v>2.2048591999999996</v>
      </c>
      <c r="N54" s="538">
        <f t="shared" si="22"/>
        <v>0</v>
      </c>
      <c r="O54" s="538">
        <f t="shared" si="22"/>
        <v>0</v>
      </c>
      <c r="P54" s="538">
        <f t="shared" si="22"/>
        <v>0</v>
      </c>
      <c r="Q54" s="1631">
        <f t="shared" si="16"/>
        <v>0</v>
      </c>
    </row>
    <row r="55" spans="1:17">
      <c r="A55" s="2115"/>
      <c r="B55" s="2124"/>
      <c r="C55" s="99" t="s">
        <v>477</v>
      </c>
      <c r="D55" s="103" t="s">
        <v>45</v>
      </c>
      <c r="E55" s="534">
        <v>0</v>
      </c>
      <c r="F55" s="104" t="s">
        <v>380</v>
      </c>
      <c r="G55" s="535">
        <f>$G$54*0.9</f>
        <v>1.9634075999999998</v>
      </c>
      <c r="H55" s="536">
        <f>$H$54</f>
        <v>2.2035999999999998E-4</v>
      </c>
      <c r="I55" s="536">
        <f>$I$54</f>
        <v>6.2959999999999994E-5</v>
      </c>
      <c r="J55" s="535">
        <f t="shared" si="17"/>
        <v>1.9634075999999998</v>
      </c>
      <c r="K55" s="535">
        <f t="shared" si="13"/>
        <v>6.6107999999999991E-3</v>
      </c>
      <c r="L55" s="535">
        <f t="shared" si="14"/>
        <v>1.6684399999999999E-2</v>
      </c>
      <c r="M55" s="107">
        <f t="shared" si="18"/>
        <v>1.9867027999999998</v>
      </c>
      <c r="N55" s="538">
        <f t="shared" si="19"/>
        <v>0</v>
      </c>
      <c r="O55" s="538">
        <f t="shared" si="20"/>
        <v>0</v>
      </c>
      <c r="P55" s="538">
        <f t="shared" si="21"/>
        <v>0</v>
      </c>
      <c r="Q55" s="1631">
        <f>ROUND(SUM(N55:P55),2)</f>
        <v>0</v>
      </c>
    </row>
    <row r="56" spans="1:17">
      <c r="A56" s="2115" t="s">
        <v>199</v>
      </c>
      <c r="B56" s="2124" t="s">
        <v>481</v>
      </c>
      <c r="C56" s="99" t="s">
        <v>422</v>
      </c>
      <c r="D56" s="103"/>
      <c r="E56" s="534">
        <f>'Transportation_Input DATA'!E86</f>
        <v>0</v>
      </c>
      <c r="F56" s="104" t="s">
        <v>423</v>
      </c>
      <c r="G56" s="682">
        <f>EF_Transportation!AG13</f>
        <v>2680</v>
      </c>
      <c r="H56" s="536">
        <f>EF_Transportation!AJ13</f>
        <v>0.3</v>
      </c>
      <c r="I56" s="536">
        <f>EF_Transportation!AK13</f>
        <v>0.1</v>
      </c>
      <c r="J56" s="682">
        <f>G56*$J$5</f>
        <v>2680</v>
      </c>
      <c r="K56" s="682">
        <f t="shared" si="13"/>
        <v>9</v>
      </c>
      <c r="L56" s="682">
        <f t="shared" si="14"/>
        <v>26.5</v>
      </c>
      <c r="M56" s="683">
        <f t="shared" si="18"/>
        <v>2715.5</v>
      </c>
      <c r="N56" s="538">
        <f>($E56*J56)/10^3</f>
        <v>0</v>
      </c>
      <c r="O56" s="538">
        <f t="shared" ref="N56:P58" si="23">($E56*K56)/10^3</f>
        <v>0</v>
      </c>
      <c r="P56" s="538">
        <f t="shared" si="23"/>
        <v>0</v>
      </c>
      <c r="Q56" s="1631">
        <f>ROUND(SUM(N56:P56),2)</f>
        <v>0</v>
      </c>
    </row>
    <row r="57" spans="1:17">
      <c r="A57" s="2115"/>
      <c r="B57" s="2124"/>
      <c r="C57" s="99" t="s">
        <v>424</v>
      </c>
      <c r="D57" s="103" t="s">
        <v>45</v>
      </c>
      <c r="E57" s="534">
        <f>'Transportation_Input DATA'!E87</f>
        <v>0</v>
      </c>
      <c r="F57" s="104" t="s">
        <v>423</v>
      </c>
      <c r="G57" s="682">
        <f>EF_Transportation!AG17</f>
        <v>7900</v>
      </c>
      <c r="H57" s="536">
        <f>EF_Transportation!AJ17</f>
        <v>1.5</v>
      </c>
      <c r="I57" s="536">
        <f>EF_Transportation!AK17</f>
        <v>0.2</v>
      </c>
      <c r="J57" s="682">
        <f>G57*$J$5</f>
        <v>7900</v>
      </c>
      <c r="K57" s="682">
        <f t="shared" si="13"/>
        <v>45</v>
      </c>
      <c r="L57" s="682">
        <f t="shared" si="14"/>
        <v>53</v>
      </c>
      <c r="M57" s="683">
        <f>SUM(J57:L57)</f>
        <v>7998</v>
      </c>
      <c r="N57" s="538">
        <f t="shared" si="23"/>
        <v>0</v>
      </c>
      <c r="O57" s="538">
        <f t="shared" si="23"/>
        <v>0</v>
      </c>
      <c r="P57" s="538">
        <f t="shared" si="23"/>
        <v>0</v>
      </c>
      <c r="Q57" s="1631">
        <f>ROUND(SUM(N57:P57),2)</f>
        <v>0</v>
      </c>
    </row>
    <row r="58" spans="1:17">
      <c r="A58" s="2115" t="s">
        <v>201</v>
      </c>
      <c r="B58" s="2124" t="s">
        <v>483</v>
      </c>
      <c r="C58" s="99" t="s">
        <v>381</v>
      </c>
      <c r="D58" s="103" t="s">
        <v>45</v>
      </c>
      <c r="E58" s="534">
        <v>0</v>
      </c>
      <c r="F58" s="104" t="s">
        <v>380</v>
      </c>
      <c r="G58" s="535">
        <f>('Conversion factor'!$E$16*'Conversion factor'!$I$17)*EF_Transportation!$C$9</f>
        <v>2.6987220000000001</v>
      </c>
      <c r="H58" s="536">
        <f>('Conversion factor'!$E$16*'Conversion factor'!$I$17)*EF_Transportation!$C$26</f>
        <v>1.4203800000000001E-4</v>
      </c>
      <c r="I58" s="536">
        <f>('Conversion factor'!$E$16*'Conversion factor'!$I$17)*EF_Transportation!$F$26</f>
        <v>1.4203800000000001E-4</v>
      </c>
      <c r="J58" s="535">
        <f t="shared" si="17"/>
        <v>2.6987220000000001</v>
      </c>
      <c r="K58" s="535">
        <f t="shared" si="13"/>
        <v>4.2611400000000001E-3</v>
      </c>
      <c r="L58" s="535">
        <f t="shared" si="14"/>
        <v>3.7640070000000005E-2</v>
      </c>
      <c r="M58" s="107">
        <f t="shared" si="18"/>
        <v>2.7406232100000003</v>
      </c>
      <c r="N58" s="538">
        <f t="shared" si="23"/>
        <v>0</v>
      </c>
      <c r="O58" s="538">
        <f t="shared" si="23"/>
        <v>0</v>
      </c>
      <c r="P58" s="538">
        <f t="shared" si="23"/>
        <v>0</v>
      </c>
      <c r="Q58" s="1631">
        <f>ROUND(SUM(N58:P58),2)</f>
        <v>0</v>
      </c>
    </row>
    <row r="59" spans="1:17">
      <c r="A59" s="2115"/>
      <c r="B59" s="2124"/>
      <c r="C59" s="99" t="s">
        <v>384</v>
      </c>
      <c r="D59" s="103" t="s">
        <v>45</v>
      </c>
      <c r="E59" s="534">
        <v>0</v>
      </c>
      <c r="F59" s="104" t="s">
        <v>380</v>
      </c>
      <c r="G59" s="535">
        <f>('Conversion factor'!$E$13*'Conversion factor'!$I$17)*EF_Transportation!$C$8</f>
        <v>2.1815639999999998</v>
      </c>
      <c r="H59" s="536">
        <f>('Conversion factor'!$E$13*'Conversion factor'!$I$17)*EF_Transportation!$C$23</f>
        <v>1.0388399999999999E-3</v>
      </c>
      <c r="I59" s="536">
        <f>('Conversion factor'!$E$13*'Conversion factor'!$I$17)*EF_Transportation!$F$23</f>
        <v>1.0073599999999999E-4</v>
      </c>
      <c r="J59" s="535">
        <f t="shared" si="17"/>
        <v>2.1815639999999998</v>
      </c>
      <c r="K59" s="535">
        <f t="shared" si="13"/>
        <v>3.1165199999999997E-2</v>
      </c>
      <c r="L59" s="535">
        <f t="shared" si="14"/>
        <v>2.6695039999999996E-2</v>
      </c>
      <c r="M59" s="107">
        <f t="shared" si="18"/>
        <v>2.2394242399999995</v>
      </c>
      <c r="N59" s="538">
        <f t="shared" si="19"/>
        <v>0</v>
      </c>
      <c r="O59" s="538">
        <f t="shared" si="20"/>
        <v>0</v>
      </c>
      <c r="P59" s="538">
        <f t="shared" si="21"/>
        <v>0</v>
      </c>
      <c r="Q59" s="1631">
        <f t="shared" si="16"/>
        <v>0</v>
      </c>
    </row>
    <row r="60" spans="1:17">
      <c r="A60" s="2115"/>
      <c r="B60" s="2124"/>
      <c r="C60" s="99" t="s">
        <v>477</v>
      </c>
      <c r="D60" s="103" t="s">
        <v>45</v>
      </c>
      <c r="E60" s="534">
        <v>0</v>
      </c>
      <c r="F60" s="104" t="s">
        <v>380</v>
      </c>
      <c r="G60" s="535">
        <f>$G$59*0.9</f>
        <v>1.9634075999999998</v>
      </c>
      <c r="H60" s="536">
        <f>$H$59</f>
        <v>1.0388399999999999E-3</v>
      </c>
      <c r="I60" s="536">
        <f>$I$59</f>
        <v>1.0073599999999999E-4</v>
      </c>
      <c r="J60" s="535">
        <f t="shared" si="17"/>
        <v>1.9634075999999998</v>
      </c>
      <c r="K60" s="535">
        <f t="shared" si="13"/>
        <v>3.1165199999999997E-2</v>
      </c>
      <c r="L60" s="535">
        <f t="shared" si="14"/>
        <v>2.6695039999999996E-2</v>
      </c>
      <c r="M60" s="107">
        <f t="shared" si="18"/>
        <v>2.0212678399999997</v>
      </c>
      <c r="N60" s="538">
        <f t="shared" si="19"/>
        <v>0</v>
      </c>
      <c r="O60" s="538">
        <f t="shared" si="20"/>
        <v>0</v>
      </c>
      <c r="P60" s="538">
        <f t="shared" si="21"/>
        <v>0</v>
      </c>
      <c r="Q60" s="1631">
        <f t="shared" si="16"/>
        <v>0</v>
      </c>
    </row>
    <row r="61" spans="1:17" ht="13.8" thickBot="1">
      <c r="A61" s="2120"/>
      <c r="B61" s="2125"/>
      <c r="C61" s="629" t="s">
        <v>388</v>
      </c>
      <c r="D61" s="622" t="s">
        <v>45</v>
      </c>
      <c r="E61" s="622">
        <v>0</v>
      </c>
      <c r="F61" s="631" t="s">
        <v>380</v>
      </c>
      <c r="G61" s="625">
        <f>('Conversion factor'!$E$12*'Conversion factor'!$I$17)*EF_Transportation!$C$10</f>
        <v>1.6797219999999999</v>
      </c>
      <c r="H61" s="626">
        <f>('Conversion factor'!$E$12*'Conversion factor'!$I$17)*EF_Transportation!$C$28</f>
        <v>1.65044E-3</v>
      </c>
      <c r="I61" s="626">
        <f>('Conversion factor'!$E$12*'Conversion factor'!$I$17)*EF_Transportation!$F$28</f>
        <v>5.3240000000000002E-6</v>
      </c>
      <c r="J61" s="625">
        <f t="shared" si="17"/>
        <v>1.6797219999999999</v>
      </c>
      <c r="K61" s="625">
        <f t="shared" si="13"/>
        <v>4.95132E-2</v>
      </c>
      <c r="L61" s="625">
        <f t="shared" si="14"/>
        <v>1.4108600000000001E-3</v>
      </c>
      <c r="M61" s="632">
        <f t="shared" si="18"/>
        <v>1.73064606</v>
      </c>
      <c r="N61" s="636">
        <f t="shared" si="19"/>
        <v>0</v>
      </c>
      <c r="O61" s="636">
        <f t="shared" si="20"/>
        <v>0</v>
      </c>
      <c r="P61" s="636">
        <f t="shared" si="21"/>
        <v>0</v>
      </c>
      <c r="Q61" s="1633">
        <f t="shared" si="16"/>
        <v>0</v>
      </c>
    </row>
    <row r="63" spans="1:17">
      <c r="C63" s="290"/>
      <c r="D63" s="290"/>
      <c r="E63" s="534"/>
    </row>
    <row r="64" spans="1:17">
      <c r="D64" s="290"/>
      <c r="E64" s="534"/>
      <c r="G64" s="180"/>
      <c r="H64" s="187"/>
      <c r="I64" s="187"/>
      <c r="N64" s="104"/>
      <c r="O64" s="104"/>
      <c r="P64" s="104"/>
    </row>
    <row r="65" spans="4:17">
      <c r="D65" s="290"/>
      <c r="E65" s="534"/>
      <c r="G65" s="180"/>
      <c r="H65" s="187"/>
      <c r="I65" s="187"/>
      <c r="N65" s="1087"/>
      <c r="O65" s="1087"/>
      <c r="P65" s="1087"/>
    </row>
    <row r="66" spans="4:17">
      <c r="D66" s="1482" t="s">
        <v>2434</v>
      </c>
      <c r="E66" s="2110" t="s">
        <v>2458</v>
      </c>
      <c r="F66" s="2110"/>
      <c r="G66" s="2110"/>
      <c r="H66" s="2110"/>
      <c r="I66" s="2110"/>
      <c r="J66" s="2110"/>
      <c r="K66" s="2110"/>
      <c r="L66" s="2110"/>
      <c r="M66" s="2110"/>
      <c r="N66" s="2111"/>
      <c r="O66" s="1087"/>
      <c r="P66" s="1087"/>
    </row>
    <row r="67" spans="4:17">
      <c r="D67" s="1768" t="s">
        <v>45</v>
      </c>
      <c r="E67" s="1769" t="s">
        <v>2453</v>
      </c>
      <c r="F67" s="1770"/>
      <c r="G67" s="1770"/>
      <c r="H67" s="1770"/>
      <c r="I67" s="1770"/>
      <c r="J67" s="1770"/>
      <c r="K67" s="1770"/>
      <c r="L67" s="1770"/>
      <c r="M67" s="1770"/>
      <c r="N67" s="1771"/>
      <c r="O67" s="1087"/>
      <c r="P67" s="1087"/>
    </row>
    <row r="68" spans="4:17">
      <c r="D68" s="1768" t="s">
        <v>51</v>
      </c>
      <c r="E68" s="1769" t="s">
        <v>2454</v>
      </c>
      <c r="F68" s="1770"/>
      <c r="G68" s="1770"/>
      <c r="H68" s="1770"/>
      <c r="I68" s="1770"/>
      <c r="J68" s="1770"/>
      <c r="K68" s="1770"/>
      <c r="L68" s="1770"/>
      <c r="M68" s="1770"/>
      <c r="N68" s="1771"/>
      <c r="O68" s="734"/>
      <c r="P68" s="734"/>
      <c r="Q68" s="734"/>
    </row>
    <row r="69" spans="4:17">
      <c r="D69" s="1768" t="s">
        <v>56</v>
      </c>
      <c r="E69" s="1769" t="s">
        <v>2455</v>
      </c>
      <c r="F69" s="1770"/>
      <c r="G69" s="1770"/>
      <c r="H69" s="1770"/>
      <c r="I69" s="1770"/>
      <c r="J69" s="1770"/>
      <c r="K69" s="1770"/>
      <c r="L69" s="1770"/>
      <c r="M69" s="1770"/>
      <c r="N69" s="1771"/>
    </row>
    <row r="70" spans="4:17">
      <c r="D70" s="1772" t="s">
        <v>61</v>
      </c>
      <c r="E70" s="1773" t="s">
        <v>2456</v>
      </c>
      <c r="F70" s="1774"/>
      <c r="G70" s="1774"/>
      <c r="H70" s="1774"/>
      <c r="I70" s="1774"/>
      <c r="J70" s="1774"/>
      <c r="K70" s="1774"/>
      <c r="L70" s="1774"/>
      <c r="M70" s="1774"/>
      <c r="N70" s="1775"/>
    </row>
    <row r="71" spans="4:17">
      <c r="D71" s="1263"/>
      <c r="E71" s="1263"/>
      <c r="F71" s="104"/>
      <c r="G71" s="104"/>
      <c r="H71" s="104"/>
      <c r="I71" s="104"/>
      <c r="J71" s="104"/>
      <c r="K71" s="104"/>
      <c r="L71" s="104"/>
      <c r="M71" s="104"/>
      <c r="N71" s="104"/>
    </row>
    <row r="72" spans="4:17">
      <c r="D72" s="1263" t="s">
        <v>2457</v>
      </c>
      <c r="E72" s="104"/>
      <c r="F72" s="104"/>
      <c r="G72" s="104"/>
      <c r="H72" s="104"/>
      <c r="I72" s="104"/>
      <c r="J72" s="104"/>
      <c r="K72" s="104"/>
      <c r="L72" s="104"/>
      <c r="M72" s="104"/>
      <c r="N72" s="104"/>
    </row>
  </sheetData>
  <mergeCells count="28">
    <mergeCell ref="A9:A18"/>
    <mergeCell ref="B9:B18"/>
    <mergeCell ref="A21:A25"/>
    <mergeCell ref="B21:B25"/>
    <mergeCell ref="G5:I5"/>
    <mergeCell ref="E6:E7"/>
    <mergeCell ref="F6:F7"/>
    <mergeCell ref="G6:I6"/>
    <mergeCell ref="J6:M6"/>
    <mergeCell ref="N6:Q6"/>
    <mergeCell ref="D6:D7"/>
    <mergeCell ref="C6:C7"/>
    <mergeCell ref="A6:B7"/>
    <mergeCell ref="E66:N66"/>
    <mergeCell ref="A58:A61"/>
    <mergeCell ref="B58:B61"/>
    <mergeCell ref="B27:B30"/>
    <mergeCell ref="A19:A20"/>
    <mergeCell ref="A27:A30"/>
    <mergeCell ref="B19:B20"/>
    <mergeCell ref="A41:A49"/>
    <mergeCell ref="B41:B49"/>
    <mergeCell ref="A50:A51"/>
    <mergeCell ref="B50:B51"/>
    <mergeCell ref="A52:A55"/>
    <mergeCell ref="A56:A57"/>
    <mergeCell ref="B56:B57"/>
    <mergeCell ref="B52:B55"/>
  </mergeCells>
  <dataValidations count="1">
    <dataValidation type="list" allowBlank="1" showInputMessage="1" showErrorMessage="1" sqref="D9:D30" xr:uid="{5C95791B-03F8-4D01-A6DF-9D9CDBFBC1A4}">
      <formula1>$T$11:$T$14</formula1>
    </dataValidation>
  </dataValidations>
  <printOptions horizontalCentered="1"/>
  <pageMargins left="0" right="0" top="0" bottom="0" header="0" footer="0"/>
  <pageSetup paperSize="9" scale="80" orientation="landscape" r:id="rId1"/>
  <rowBreaks count="1" manualBreakCount="1">
    <brk id="39"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เอกสาร" ma:contentTypeID="0x010100C91F3619EA837B4C857154183AD0AF5F" ma:contentTypeVersion="2" ma:contentTypeDescription="สร้างเอกสารใหม่" ma:contentTypeScope="" ma:versionID="cdae2af9f301da8a2fac58f457648d0d">
  <xsd:schema xmlns:xsd="http://www.w3.org/2001/XMLSchema" xmlns:xs="http://www.w3.org/2001/XMLSchema" xmlns:p="http://schemas.microsoft.com/office/2006/metadata/properties" xmlns:ns2="8e65959f-92b2-450a-b82d-397ea8cb3d28" targetNamespace="http://schemas.microsoft.com/office/2006/metadata/properties" ma:root="true" ma:fieldsID="3acb92c84a7b5953fe24541de8ce18d8" ns2:_="">
    <xsd:import namespace="8e65959f-92b2-450a-b82d-397ea8cb3d2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65959f-92b2-450a-b82d-397ea8cb3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ชนิดเนื้อหา"/>
        <xsd:element ref="dc:title" minOccurs="0" maxOccurs="1" ma:index="4" ma:displayName="ชื่อเรื่อง"/>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D294BB-A759-46E4-A0DA-F6241D9882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65959f-92b2-450a-b82d-397ea8cb3d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C68C1C-D840-4F9F-8CB6-8ADBDA790342}">
  <ds:schemaRefs>
    <ds:schemaRef ds:uri="http://schemas.microsoft.com/sharepoint/v3/contenttype/forms"/>
  </ds:schemaRefs>
</ds:datastoreItem>
</file>

<file path=customXml/itemProps3.xml><?xml version="1.0" encoding="utf-8"?>
<ds:datastoreItem xmlns:ds="http://schemas.openxmlformats.org/officeDocument/2006/customXml" ds:itemID="{9A882CEC-7ABD-4AC6-A48D-CF1C0A7EEC97}">
  <ds:schemaRefs>
    <ds:schemaRef ds:uri="http://purl.org/dc/terms/"/>
    <ds:schemaRef ds:uri="8e65959f-92b2-450a-b82d-397ea8cb3d28"/>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12</vt:i4>
      </vt:variant>
    </vt:vector>
  </HeadingPairs>
  <TitlesOfParts>
    <vt:vector size="41" baseType="lpstr">
      <vt:lpstr>City information</vt:lpstr>
      <vt:lpstr>GPC</vt:lpstr>
      <vt:lpstr>Overview Result</vt:lpstr>
      <vt:lpstr>Summary Result</vt:lpstr>
      <vt:lpstr>Energy_Input DATA</vt:lpstr>
      <vt:lpstr>Transportation_Input DATA</vt:lpstr>
      <vt:lpstr>Waste_Input DATA </vt:lpstr>
      <vt:lpstr>I.Stationary Energy</vt:lpstr>
      <vt:lpstr>II.Transportation</vt:lpstr>
      <vt:lpstr>II.Aviation</vt:lpstr>
      <vt:lpstr>III.1 Landfill</vt:lpstr>
      <vt:lpstr>III.3 Burnning</vt:lpstr>
      <vt:lpstr>III.2 Bio Tretment</vt:lpstr>
      <vt:lpstr>III.4 Wastewater</vt:lpstr>
      <vt:lpstr>IV. IPPU_IP</vt:lpstr>
      <vt:lpstr>IV. IPPU_PU</vt:lpstr>
      <vt:lpstr>V.1 Livestock</vt:lpstr>
      <vt:lpstr>V.2 Land use_FL</vt:lpstr>
      <vt:lpstr>V.2 Land use_CL</vt:lpstr>
      <vt:lpstr>V.3 Rice cultivation</vt:lpstr>
      <vt:lpstr>V.3 Biomass Burning</vt:lpstr>
      <vt:lpstr>V.3 Liming</vt:lpstr>
      <vt:lpstr>V.3 Urea</vt:lpstr>
      <vt:lpstr>V.3 Managed Soils</vt:lpstr>
      <vt:lpstr>EF_Stationary</vt:lpstr>
      <vt:lpstr>EF_Transportation</vt:lpstr>
      <vt:lpstr>EF_Waste</vt:lpstr>
      <vt:lpstr>EF_Livestock</vt:lpstr>
      <vt:lpstr>Conversion factor</vt:lpstr>
      <vt:lpstr>EF_Livestock!MMS_DailySpread</vt:lpstr>
      <vt:lpstr>EF_Livestock!MMS_Digester</vt:lpstr>
      <vt:lpstr>EF_Livestock!MMS_Drylot</vt:lpstr>
      <vt:lpstr>EF_Livestock!MMS_Lagoon</vt:lpstr>
      <vt:lpstr>EF_Livestock!MMS_Liquid</vt:lpstr>
      <vt:lpstr>EF_Livestock!MMS_Paddock</vt:lpstr>
      <vt:lpstr>'III.4 Wastewater'!OLE_LINK1</vt:lpstr>
      <vt:lpstr>'I.Stationary Energy'!Print_Area</vt:lpstr>
      <vt:lpstr>'Overview Result'!Print_Area</vt:lpstr>
      <vt:lpstr>'Summary Result'!Print_Area</vt:lpstr>
      <vt:lpstr>'I.Stationary Energy'!Print_Titles</vt:lpstr>
      <vt:lpstr>II.Transportation!Print_Titles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Naruetep</dc:creator>
  <cp:keywords/>
  <dc:description/>
  <cp:lastModifiedBy>Tuangkamon Pluettanopatchai</cp:lastModifiedBy>
  <cp:revision/>
  <dcterms:created xsi:type="dcterms:W3CDTF">2010-05-17T09:33:41Z</dcterms:created>
  <dcterms:modified xsi:type="dcterms:W3CDTF">2026-01-30T07:39:46Z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0x010100C91F3619EA837B4C857154183AD0AF5F</vt:lpwstr>
  </property>
</Properties>
</file>